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1"/>
  </bookViews>
  <sheets>
    <sheet name="歩掛り変更" sheetId="16" r:id="rId1"/>
    <sheet name="林道EC445_H=100mm" sheetId="14" r:id="rId2"/>
    <sheet name="駐車場EC445_H=100mm" sheetId="17" r:id="rId3"/>
    <sheet name="労務単価" sheetId="9" r:id="rId4"/>
  </sheets>
  <definedNames>
    <definedName name="_xlnm.Print_Area" localSheetId="2">'駐車場EC445_H=100mm'!$B$3:$I$38</definedName>
    <definedName name="_xlnm.Print_Area" localSheetId="0">歩掛り変更!$B$1:$E$11</definedName>
    <definedName name="_xlnm.Print_Area" localSheetId="1">'林道EC445_H=100mm'!$B$3:$I$38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4" l="1"/>
  <c r="F16" i="14"/>
  <c r="F15" i="14"/>
  <c r="F10" i="14"/>
  <c r="F8" i="14"/>
  <c r="F6" i="14"/>
  <c r="R47" i="14"/>
  <c r="Q47" i="14"/>
  <c r="Q48" i="14" s="1"/>
  <c r="S47" i="14"/>
  <c r="S48" i="14" s="1"/>
  <c r="R48" i="14"/>
  <c r="T40" i="14"/>
  <c r="S40" i="14"/>
  <c r="T39" i="14"/>
  <c r="S39" i="14"/>
  <c r="T38" i="14"/>
  <c r="S38" i="14"/>
  <c r="A3" i="9" l="1"/>
  <c r="S21" i="17" l="1"/>
  <c r="R21" i="17"/>
  <c r="Q21" i="17"/>
  <c r="S20" i="17"/>
  <c r="R20" i="17"/>
  <c r="Q20" i="17"/>
  <c r="V21" i="17"/>
  <c r="F13" i="17"/>
  <c r="T38" i="17"/>
  <c r="S45" i="17" s="1"/>
  <c r="S46" i="17" s="1"/>
  <c r="S38" i="17"/>
  <c r="T37" i="17"/>
  <c r="S37" i="17"/>
  <c r="T36" i="17"/>
  <c r="S36" i="17"/>
  <c r="K21" i="17"/>
  <c r="W17" i="17"/>
  <c r="W16" i="17"/>
  <c r="T16" i="17"/>
  <c r="S24" i="17" s="1"/>
  <c r="S16" i="17"/>
  <c r="S25" i="17" s="1"/>
  <c r="G17" i="17"/>
  <c r="F17" i="17"/>
  <c r="T15" i="17"/>
  <c r="R45" i="17" s="1"/>
  <c r="R46" i="17" s="1"/>
  <c r="F7" i="17" s="1"/>
  <c r="H7" i="17" s="1"/>
  <c r="S15" i="17"/>
  <c r="R25" i="17" s="1"/>
  <c r="G16" i="17"/>
  <c r="F16" i="17"/>
  <c r="T14" i="17"/>
  <c r="Q45" i="17" s="1"/>
  <c r="Q46" i="17" s="1"/>
  <c r="S14" i="17"/>
  <c r="Q25" i="17" s="1"/>
  <c r="G15" i="17"/>
  <c r="F15" i="17"/>
  <c r="F18" i="17" s="1"/>
  <c r="H18" i="17" s="1"/>
  <c r="F12" i="17"/>
  <c r="F10" i="17"/>
  <c r="H10" i="17" s="1"/>
  <c r="N9" i="17"/>
  <c r="H9" i="17"/>
  <c r="F8" i="17"/>
  <c r="F14" i="17" s="1"/>
  <c r="Q6" i="17"/>
  <c r="J6" i="17"/>
  <c r="H6" i="17"/>
  <c r="F13" i="14"/>
  <c r="G29" i="16"/>
  <c r="G28" i="16"/>
  <c r="F30" i="16"/>
  <c r="F24" i="16"/>
  <c r="M7" i="16"/>
  <c r="M6" i="16"/>
  <c r="I7" i="16"/>
  <c r="I6" i="16"/>
  <c r="P6" i="16" s="1"/>
  <c r="P11" i="16"/>
  <c r="P14" i="16"/>
  <c r="M14" i="16"/>
  <c r="M11" i="16"/>
  <c r="R24" i="17" l="1"/>
  <c r="Q24" i="17"/>
  <c r="H8" i="17"/>
  <c r="X16" i="17"/>
  <c r="H15" i="17"/>
  <c r="H16" i="17"/>
  <c r="H17" i="17"/>
  <c r="H11" i="17"/>
  <c r="H26" i="17"/>
  <c r="I26" i="17" s="1"/>
  <c r="P7" i="16"/>
  <c r="H27" i="17" l="1"/>
  <c r="I27" i="17" s="1"/>
  <c r="H23" i="17"/>
  <c r="I13" i="16"/>
  <c r="M13" i="16" s="1"/>
  <c r="P13" i="16" s="1"/>
  <c r="I12" i="16"/>
  <c r="M12" i="16" s="1"/>
  <c r="P12" i="16" s="1"/>
  <c r="F4" i="16"/>
  <c r="R31" i="14"/>
  <c r="R32" i="14" s="1"/>
  <c r="F7" i="14" s="1"/>
  <c r="H7" i="14" s="1"/>
  <c r="Q31" i="14"/>
  <c r="Q32" i="14" s="1"/>
  <c r="T24" i="14"/>
  <c r="S31" i="14" s="1"/>
  <c r="S32" i="14" s="1"/>
  <c r="S24" i="14"/>
  <c r="T23" i="14"/>
  <c r="S23" i="14"/>
  <c r="K21" i="14"/>
  <c r="T22" i="14"/>
  <c r="S22" i="14"/>
  <c r="G17" i="14"/>
  <c r="W18" i="14"/>
  <c r="G16" i="14"/>
  <c r="H16" i="14"/>
  <c r="W17" i="14"/>
  <c r="T17" i="14"/>
  <c r="S17" i="14"/>
  <c r="G15" i="14"/>
  <c r="F18" i="14"/>
  <c r="H18" i="14" s="1"/>
  <c r="T16" i="14"/>
  <c r="S16" i="14"/>
  <c r="T15" i="14"/>
  <c r="S15" i="14"/>
  <c r="F12" i="14"/>
  <c r="H10" i="14"/>
  <c r="H9" i="14"/>
  <c r="F14" i="14"/>
  <c r="J6" i="14"/>
  <c r="H6" i="14"/>
  <c r="H17" i="14" l="1"/>
  <c r="X17" i="14"/>
  <c r="H15" i="14"/>
  <c r="H8" i="14"/>
  <c r="H11" i="14" s="1"/>
  <c r="H26" i="14"/>
  <c r="I26" i="14" s="1"/>
  <c r="H27" i="14" l="1"/>
  <c r="I27" i="14" s="1"/>
  <c r="H23" i="14"/>
  <c r="A4" i="9" l="1"/>
  <c r="A5" i="9"/>
  <c r="T7" i="17" s="1"/>
  <c r="A6" i="9"/>
  <c r="A7" i="9"/>
  <c r="G14" i="17" l="1"/>
  <c r="H14" i="17" s="1"/>
  <c r="G13" i="17"/>
  <c r="H13" i="17" s="1"/>
  <c r="T6" i="14"/>
  <c r="G12" i="14" s="1"/>
  <c r="H12" i="14" s="1"/>
  <c r="T6" i="17"/>
  <c r="G12" i="17" s="1"/>
  <c r="H12" i="17" s="1"/>
  <c r="H19" i="17" s="1"/>
  <c r="T7" i="14"/>
  <c r="H24" i="17" l="1"/>
  <c r="H20" i="17"/>
  <c r="H21" i="17" s="1"/>
  <c r="G14" i="14"/>
  <c r="H14" i="14" s="1"/>
  <c r="G13" i="14"/>
  <c r="H13" i="14" s="1"/>
  <c r="H19" i="14" l="1"/>
  <c r="H24" i="14" s="1"/>
  <c r="H20" i="14" l="1"/>
  <c r="H21" i="14" s="1"/>
</calcChain>
</file>

<file path=xl/sharedStrings.xml><?xml version="1.0" encoding="utf-8"?>
<sst xmlns="http://schemas.openxmlformats.org/spreadsheetml/2006/main" count="385" uniqueCount="183">
  <si>
    <t>残土処理</t>
    <rPh sb="0" eb="2">
      <t>ザンド</t>
    </rPh>
    <rPh sb="2" eb="4">
      <t>ショリ</t>
    </rPh>
    <phoneticPr fontId="2"/>
  </si>
  <si>
    <t>種別</t>
    <rPh sb="0" eb="2">
      <t>シュベツ</t>
    </rPh>
    <phoneticPr fontId="2"/>
  </si>
  <si>
    <t>名称</t>
    <rPh sb="0" eb="2">
      <t>メイショウ</t>
    </rPh>
    <phoneticPr fontId="2"/>
  </si>
  <si>
    <t>仕様</t>
    <rPh sb="0" eb="2">
      <t>シヨウ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</si>
  <si>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</si>
  <si>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</si>
  <si>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単価(円)</t>
    <rPh sb="0" eb="2">
      <t>タンカ</t>
    </rPh>
    <rPh sb="3" eb="4">
      <t>エン</t>
    </rPh>
    <phoneticPr fontId="2"/>
  </si>
  <si>
    <t>金額(円)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</si>
  <si>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</si>
  <si>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砕石</t>
    <rPh sb="0" eb="2">
      <t>サイセキ</t>
    </rPh>
    <phoneticPr fontId="2"/>
  </si>
  <si>
    <t>RC-40</t>
    <phoneticPr fontId="2"/>
  </si>
  <si>
    <t>㎡</t>
    <phoneticPr fontId="2"/>
  </si>
  <si>
    <t>本</t>
    <rPh sb="0" eb="1">
      <t>ホン</t>
    </rPh>
    <phoneticPr fontId="2"/>
  </si>
  <si>
    <t>㎥</t>
    <phoneticPr fontId="2"/>
  </si>
  <si>
    <t>ロス20％含む</t>
    <rPh sb="5" eb="6">
      <t>フク</t>
    </rPh>
    <phoneticPr fontId="2"/>
  </si>
  <si>
    <t>小計</t>
    <rPh sb="0" eb="2">
      <t>ショウケイ</t>
    </rPh>
    <phoneticPr fontId="2"/>
  </si>
  <si>
    <t>材　料　費</t>
    <rPh sb="0" eb="1">
      <t>ザイ</t>
    </rPh>
    <rPh sb="2" eb="3">
      <t>リョウ</t>
    </rPh>
    <rPh sb="4" eb="5">
      <t>ヒ</t>
    </rPh>
    <phoneticPr fontId="2"/>
  </si>
  <si>
    <t>不織布敷設</t>
    <rPh sb="0" eb="3">
      <t>フショクフ</t>
    </rPh>
    <rPh sb="3" eb="5">
      <t>フセツ</t>
    </rPh>
    <phoneticPr fontId="2"/>
  </si>
  <si>
    <t>まき出し、充填・転圧</t>
    <rPh sb="2" eb="3">
      <t>ダ</t>
    </rPh>
    <rPh sb="5" eb="7">
      <t>ジュウテン</t>
    </rPh>
    <rPh sb="8" eb="10">
      <t>テンアツ</t>
    </rPh>
    <phoneticPr fontId="2"/>
  </si>
  <si>
    <t>掘削</t>
    <rPh sb="0" eb="2">
      <t>クッサク</t>
    </rPh>
    <phoneticPr fontId="2"/>
  </si>
  <si>
    <t>世話役</t>
    <rPh sb="0" eb="3">
      <t>セワヤク</t>
    </rPh>
    <phoneticPr fontId="2"/>
  </si>
  <si>
    <t>普通作業員</t>
    <rPh sb="0" eb="2">
      <t>フツウ</t>
    </rPh>
    <rPh sb="2" eb="5">
      <t>サギョウイン</t>
    </rPh>
    <phoneticPr fontId="2"/>
  </si>
  <si>
    <t>中詰材（砕石）</t>
    <rPh sb="0" eb="1">
      <t>ナカ</t>
    </rPh>
    <rPh sb="1" eb="2">
      <t>ヅ</t>
    </rPh>
    <rPh sb="2" eb="3">
      <t>ザイ</t>
    </rPh>
    <rPh sb="4" eb="6">
      <t>サイセキ</t>
    </rPh>
    <phoneticPr fontId="2"/>
  </si>
  <si>
    <t>人</t>
    <rPh sb="0" eb="1">
      <t>ヒト</t>
    </rPh>
    <phoneticPr fontId="2"/>
  </si>
  <si>
    <t>作　業　費</t>
    <rPh sb="0" eb="1">
      <t>サク</t>
    </rPh>
    <rPh sb="2" eb="3">
      <t>ゴウ</t>
    </rPh>
    <rPh sb="4" eb="5">
      <t>ヒ</t>
    </rPh>
    <phoneticPr fontId="2"/>
  </si>
  <si>
    <t>合　計</t>
    <rPh sb="0" eb="1">
      <t>ゴウ</t>
    </rPh>
    <rPh sb="2" eb="3">
      <t>ケイ</t>
    </rPh>
    <phoneticPr fontId="2"/>
  </si>
  <si>
    <t>小　計</t>
    <rPh sb="0" eb="1">
      <t>ショウ</t>
    </rPh>
    <rPh sb="2" eb="3">
      <t>ケイ</t>
    </rPh>
    <phoneticPr fontId="2"/>
  </si>
  <si>
    <t>1.0㎡当り施工単価</t>
    <rPh sb="4" eb="5">
      <t>アタ</t>
    </rPh>
    <rPh sb="6" eb="8">
      <t>セコウ</t>
    </rPh>
    <rPh sb="8" eb="10">
      <t>タンカ</t>
    </rPh>
    <phoneticPr fontId="2"/>
  </si>
  <si>
    <t>0.002人/㎡（メーカー基準）</t>
    <rPh sb="5" eb="6">
      <t>ヒト</t>
    </rPh>
    <rPh sb="13" eb="15">
      <t>キジュン</t>
    </rPh>
    <phoneticPr fontId="2"/>
  </si>
  <si>
    <t>0.020人/㎡（メーカー基準）</t>
    <phoneticPr fontId="2"/>
  </si>
  <si>
    <t>0.004人/㎡（メーカー基準）</t>
    <phoneticPr fontId="2"/>
  </si>
  <si>
    <t>0.005人/㎡（メーカー基準）</t>
    <phoneticPr fontId="2"/>
  </si>
  <si>
    <t>セル幅</t>
    <rPh sb="2" eb="3">
      <t>ハバ</t>
    </rPh>
    <phoneticPr fontId="2"/>
  </si>
  <si>
    <t>セル数</t>
    <rPh sb="2" eb="3">
      <t>スウ</t>
    </rPh>
    <phoneticPr fontId="2"/>
  </si>
  <si>
    <t>セル高</t>
    <rPh sb="2" eb="3">
      <t>タカ</t>
    </rPh>
    <phoneticPr fontId="2"/>
  </si>
  <si>
    <t>段数</t>
    <rPh sb="0" eb="2">
      <t>ダンスウ</t>
    </rPh>
    <phoneticPr fontId="2"/>
  </si>
  <si>
    <t>セル層厚</t>
    <rPh sb="2" eb="4">
      <t>ソウアツ</t>
    </rPh>
    <phoneticPr fontId="2"/>
  </si>
  <si>
    <t>箇所</t>
    <rPh sb="0" eb="2">
      <t>カショ</t>
    </rPh>
    <phoneticPr fontId="2"/>
  </si>
  <si>
    <t>ジオセル</t>
    <phoneticPr fontId="2"/>
  </si>
  <si>
    <t>ジオセル小運搬・展開</t>
    <rPh sb="4" eb="5">
      <t>ショウ</t>
    </rPh>
    <rPh sb="5" eb="7">
      <t>ウンパン</t>
    </rPh>
    <rPh sb="8" eb="10">
      <t>テンカイ</t>
    </rPh>
    <phoneticPr fontId="2"/>
  </si>
  <si>
    <t>吸い出し防止材</t>
    <rPh sb="0" eb="1">
      <t>ス</t>
    </rPh>
    <rPh sb="2" eb="3">
      <t>ダ</t>
    </rPh>
    <rPh sb="4" eb="6">
      <t>ボウシ</t>
    </rPh>
    <rPh sb="6" eb="7">
      <t>ザイ</t>
    </rPh>
    <phoneticPr fontId="2"/>
  </si>
  <si>
    <t>MACTEX N18.1</t>
    <phoneticPr fontId="2"/>
  </si>
  <si>
    <t>アンカーピン打設</t>
    <rPh sb="6" eb="8">
      <t>ダセツ</t>
    </rPh>
    <phoneticPr fontId="2"/>
  </si>
  <si>
    <t>アンカーピン</t>
    <phoneticPr fontId="2"/>
  </si>
  <si>
    <t>都道府県</t>
    <rPh sb="0" eb="4">
      <t>トドウフケン</t>
    </rPh>
    <phoneticPr fontId="6"/>
  </si>
  <si>
    <t>施工面積</t>
    <rPh sb="0" eb="2">
      <t>セコウ</t>
    </rPh>
    <rPh sb="2" eb="4">
      <t>メンセキ</t>
    </rPh>
    <phoneticPr fontId="6"/>
  </si>
  <si>
    <t>世話役</t>
    <rPh sb="0" eb="3">
      <t>セワヤク</t>
    </rPh>
    <phoneticPr fontId="6"/>
  </si>
  <si>
    <t>ecoweb高さ</t>
    <rPh sb="6" eb="7">
      <t>タカ</t>
    </rPh>
    <phoneticPr fontId="6"/>
  </si>
  <si>
    <t>普通作業員</t>
    <rPh sb="0" eb="2">
      <t>フツウ</t>
    </rPh>
    <rPh sb="2" eb="5">
      <t>サギョウイン</t>
    </rPh>
    <phoneticPr fontId="6"/>
  </si>
  <si>
    <t>砕石高さ</t>
    <rPh sb="0" eb="3">
      <t>サイセキタカ</t>
    </rPh>
    <phoneticPr fontId="6"/>
  </si>
  <si>
    <t>都道府県名</t>
    <rPh sb="0" eb="4">
      <t>トドウフケン</t>
    </rPh>
    <rPh sb="4" eb="5">
      <t>メイ</t>
    </rPh>
    <phoneticPr fontId="9"/>
  </si>
  <si>
    <t>北海道</t>
    <rPh sb="0" eb="3">
      <t>ホッカイドウ</t>
    </rPh>
    <phoneticPr fontId="9"/>
  </si>
  <si>
    <t>青森</t>
    <rPh sb="0" eb="2">
      <t>アオモリ</t>
    </rPh>
    <phoneticPr fontId="9"/>
  </si>
  <si>
    <t>岩手</t>
    <rPh sb="0" eb="2">
      <t>イワテ</t>
    </rPh>
    <phoneticPr fontId="9"/>
  </si>
  <si>
    <t>宮城</t>
    <rPh sb="0" eb="2">
      <t>ミヤギ</t>
    </rPh>
    <phoneticPr fontId="9"/>
  </si>
  <si>
    <t>秋田</t>
    <rPh sb="0" eb="2">
      <t>アキタ</t>
    </rPh>
    <phoneticPr fontId="9"/>
  </si>
  <si>
    <t>山形</t>
    <rPh sb="0" eb="2">
      <t>ヤマガタ</t>
    </rPh>
    <phoneticPr fontId="9"/>
  </si>
  <si>
    <t>福島</t>
    <rPh sb="0" eb="2">
      <t>フクシマ</t>
    </rPh>
    <phoneticPr fontId="9"/>
  </si>
  <si>
    <t>茨城</t>
    <rPh sb="0" eb="2">
      <t>イバラキ</t>
    </rPh>
    <phoneticPr fontId="9"/>
  </si>
  <si>
    <t>栃木</t>
    <rPh sb="0" eb="2">
      <t>トチギ</t>
    </rPh>
    <phoneticPr fontId="9"/>
  </si>
  <si>
    <t>群馬</t>
    <rPh sb="0" eb="2">
      <t>グンマ</t>
    </rPh>
    <phoneticPr fontId="9"/>
  </si>
  <si>
    <t>埼玉</t>
    <rPh sb="0" eb="2">
      <t>サイタマ</t>
    </rPh>
    <phoneticPr fontId="9"/>
  </si>
  <si>
    <t>千葉</t>
    <rPh sb="0" eb="2">
      <t>チバ</t>
    </rPh>
    <phoneticPr fontId="9"/>
  </si>
  <si>
    <t>東京</t>
    <rPh sb="0" eb="2">
      <t>トウキョウ</t>
    </rPh>
    <phoneticPr fontId="9"/>
  </si>
  <si>
    <t>神奈川</t>
    <rPh sb="0" eb="3">
      <t>カナガワ</t>
    </rPh>
    <phoneticPr fontId="9"/>
  </si>
  <si>
    <t>山梨</t>
    <rPh sb="0" eb="2">
      <t>ヤマナシ</t>
    </rPh>
    <phoneticPr fontId="9"/>
  </si>
  <si>
    <t>長野</t>
    <rPh sb="0" eb="2">
      <t>ナガノ</t>
    </rPh>
    <phoneticPr fontId="9"/>
  </si>
  <si>
    <t>新潟</t>
    <rPh sb="0" eb="2">
      <t>ニイガタ</t>
    </rPh>
    <phoneticPr fontId="9"/>
  </si>
  <si>
    <t>富山</t>
    <rPh sb="0" eb="2">
      <t>トヤマ</t>
    </rPh>
    <phoneticPr fontId="9"/>
  </si>
  <si>
    <t>石川</t>
    <rPh sb="0" eb="2">
      <t>イシカワ</t>
    </rPh>
    <phoneticPr fontId="9"/>
  </si>
  <si>
    <t>岐阜</t>
    <rPh sb="0" eb="2">
      <t>ギフ</t>
    </rPh>
    <phoneticPr fontId="9"/>
  </si>
  <si>
    <t>静岡</t>
    <rPh sb="0" eb="2">
      <t>シズオカ</t>
    </rPh>
    <phoneticPr fontId="9"/>
  </si>
  <si>
    <t>愛知</t>
    <rPh sb="0" eb="2">
      <t>アイチ</t>
    </rPh>
    <phoneticPr fontId="9"/>
  </si>
  <si>
    <t>三重</t>
    <rPh sb="0" eb="2">
      <t>ミエ</t>
    </rPh>
    <phoneticPr fontId="9"/>
  </si>
  <si>
    <t>福井</t>
    <rPh sb="0" eb="2">
      <t>フクイ</t>
    </rPh>
    <phoneticPr fontId="9"/>
  </si>
  <si>
    <t>滋賀</t>
    <rPh sb="0" eb="2">
      <t>シガ</t>
    </rPh>
    <phoneticPr fontId="9"/>
  </si>
  <si>
    <t>京都</t>
    <rPh sb="0" eb="2">
      <t>キョウト</t>
    </rPh>
    <phoneticPr fontId="9"/>
  </si>
  <si>
    <t>大阪</t>
    <rPh sb="0" eb="2">
      <t>オオサカ</t>
    </rPh>
    <phoneticPr fontId="9"/>
  </si>
  <si>
    <t>兵庫</t>
    <rPh sb="0" eb="2">
      <t>ヒョウゴ</t>
    </rPh>
    <phoneticPr fontId="9"/>
  </si>
  <si>
    <t>奈良</t>
    <rPh sb="0" eb="2">
      <t>ナラ</t>
    </rPh>
    <phoneticPr fontId="9"/>
  </si>
  <si>
    <t>和歌山</t>
    <rPh sb="0" eb="3">
      <t>ワカヤマ</t>
    </rPh>
    <phoneticPr fontId="9"/>
  </si>
  <si>
    <t>鳥取</t>
    <rPh sb="0" eb="2">
      <t>トットリ</t>
    </rPh>
    <phoneticPr fontId="9"/>
  </si>
  <si>
    <t>島根</t>
    <rPh sb="0" eb="2">
      <t>シマネ</t>
    </rPh>
    <phoneticPr fontId="9"/>
  </si>
  <si>
    <t>岡山</t>
    <rPh sb="0" eb="2">
      <t>オカヤマ</t>
    </rPh>
    <phoneticPr fontId="9"/>
  </si>
  <si>
    <t>広島</t>
    <rPh sb="0" eb="2">
      <t>ヒロシマ</t>
    </rPh>
    <phoneticPr fontId="9"/>
  </si>
  <si>
    <t>山口</t>
    <rPh sb="0" eb="2">
      <t>ヤマグチ</t>
    </rPh>
    <phoneticPr fontId="9"/>
  </si>
  <si>
    <t>徳島</t>
    <rPh sb="0" eb="2">
      <t>トクシマ</t>
    </rPh>
    <phoneticPr fontId="9"/>
  </si>
  <si>
    <t>香川</t>
    <rPh sb="0" eb="2">
      <t>カガワ</t>
    </rPh>
    <phoneticPr fontId="9"/>
  </si>
  <si>
    <t>愛媛</t>
    <rPh sb="0" eb="2">
      <t>エヒメ</t>
    </rPh>
    <phoneticPr fontId="9"/>
  </si>
  <si>
    <t>高知</t>
    <rPh sb="0" eb="2">
      <t>コウチ</t>
    </rPh>
    <phoneticPr fontId="9"/>
  </si>
  <si>
    <t>福岡</t>
    <rPh sb="0" eb="2">
      <t>フクオカ</t>
    </rPh>
    <phoneticPr fontId="9"/>
  </si>
  <si>
    <t>佐賀</t>
    <rPh sb="0" eb="2">
      <t>サガ</t>
    </rPh>
    <phoneticPr fontId="9"/>
  </si>
  <si>
    <t>長崎</t>
    <rPh sb="0" eb="2">
      <t>ナガサキ</t>
    </rPh>
    <phoneticPr fontId="9"/>
  </si>
  <si>
    <t>熊本</t>
    <rPh sb="0" eb="2">
      <t>クマモト</t>
    </rPh>
    <phoneticPr fontId="9"/>
  </si>
  <si>
    <t>大分</t>
    <rPh sb="0" eb="2">
      <t>オオイタ</t>
    </rPh>
    <phoneticPr fontId="9"/>
  </si>
  <si>
    <t>宮崎</t>
    <rPh sb="0" eb="2">
      <t>ミヤザキ</t>
    </rPh>
    <phoneticPr fontId="9"/>
  </si>
  <si>
    <t>鹿児島</t>
    <rPh sb="0" eb="3">
      <t>カゴシマ</t>
    </rPh>
    <phoneticPr fontId="9"/>
  </si>
  <si>
    <t>沖縄</t>
    <rPh sb="0" eb="2">
      <t>オキナワ</t>
    </rPh>
    <phoneticPr fontId="9"/>
  </si>
  <si>
    <t>世話役</t>
  </si>
  <si>
    <t>普通作業員</t>
  </si>
  <si>
    <t>運転手（特殊）</t>
  </si>
  <si>
    <t>接続箇所数</t>
    <rPh sb="0" eb="5">
      <t>セツゾクカショスウ</t>
    </rPh>
    <phoneticPr fontId="6"/>
  </si>
  <si>
    <t>溶着間隔(mm)</t>
    <rPh sb="0" eb="4">
      <t>ヨウチャクカンカク</t>
    </rPh>
    <phoneticPr fontId="6"/>
  </si>
  <si>
    <t>S
356</t>
    <phoneticPr fontId="6"/>
  </si>
  <si>
    <t>M
445</t>
    <phoneticPr fontId="6"/>
  </si>
  <si>
    <t>L
712</t>
    <phoneticPr fontId="6"/>
  </si>
  <si>
    <t>縦</t>
    <rPh sb="0" eb="1">
      <t>タテ</t>
    </rPh>
    <phoneticPr fontId="6"/>
  </si>
  <si>
    <t>横</t>
    <rPh sb="0" eb="1">
      <t>ヨコ</t>
    </rPh>
    <phoneticPr fontId="6"/>
  </si>
  <si>
    <t>※割付図より算出</t>
    <rPh sb="1" eb="4">
      <t>ワリツケズ</t>
    </rPh>
    <rPh sb="6" eb="8">
      <t>サンシュツ</t>
    </rPh>
    <phoneticPr fontId="6"/>
  </si>
  <si>
    <t>接続材</t>
    <rPh sb="0" eb="3">
      <t>セツゾクザイ</t>
    </rPh>
    <phoneticPr fontId="2"/>
  </si>
  <si>
    <t>個</t>
    <rPh sb="0" eb="1">
      <t>コ</t>
    </rPh>
    <phoneticPr fontId="2"/>
  </si>
  <si>
    <t>整地</t>
    <rPh sb="0" eb="2">
      <t>セイチ</t>
    </rPh>
    <phoneticPr fontId="2"/>
  </si>
  <si>
    <t>ロス10％含む</t>
    <rPh sb="5" eb="6">
      <t>フク</t>
    </rPh>
    <phoneticPr fontId="2"/>
  </si>
  <si>
    <t>187/906</t>
    <phoneticPr fontId="2"/>
  </si>
  <si>
    <t>記述ナシ</t>
    <rPh sb="0" eb="2">
      <t>キジュツ</t>
    </rPh>
    <phoneticPr fontId="2"/>
  </si>
  <si>
    <t>材料単価</t>
    <rPh sb="0" eb="4">
      <t>ザイリョウタンカ</t>
    </rPh>
    <phoneticPr fontId="2"/>
  </si>
  <si>
    <t>施工単価</t>
    <rPh sb="0" eb="4">
      <t>セコウタンカ</t>
    </rPh>
    <phoneticPr fontId="2"/>
  </si>
  <si>
    <t>宮崎</t>
    <rPh sb="0" eb="2">
      <t>ミヤザキ</t>
    </rPh>
    <phoneticPr fontId="6"/>
  </si>
  <si>
    <t>ecoweb</t>
    <phoneticPr fontId="2"/>
  </si>
  <si>
    <t>その他</t>
    <rPh sb="2" eb="3">
      <t>タ</t>
    </rPh>
    <phoneticPr fontId="2"/>
  </si>
  <si>
    <t>材料単価</t>
    <rPh sb="0" eb="2">
      <t>ザイリョウ</t>
    </rPh>
    <rPh sb="2" eb="4">
      <t>タンカ</t>
    </rPh>
    <phoneticPr fontId="2"/>
  </si>
  <si>
    <t>延長100m当り</t>
    <rPh sb="0" eb="2">
      <t>エンチョウ</t>
    </rPh>
    <rPh sb="6" eb="7">
      <t>アタ</t>
    </rPh>
    <phoneticPr fontId="2"/>
  </si>
  <si>
    <t>ジオセル路盤・路床工　標準材工費</t>
    <rPh sb="4" eb="6">
      <t>ロバン</t>
    </rPh>
    <rPh sb="7" eb="9">
      <t>ロショウ</t>
    </rPh>
    <rPh sb="9" eb="10">
      <t>コウ</t>
    </rPh>
    <rPh sb="11" eb="13">
      <t>ヒョウジュン</t>
    </rPh>
    <rPh sb="13" eb="14">
      <t>ザイ</t>
    </rPh>
    <rPh sb="14" eb="16">
      <t>コウヒ</t>
    </rPh>
    <phoneticPr fontId="2"/>
  </si>
  <si>
    <t xml:space="preserve"> 50/906</t>
    <phoneticPr fontId="2"/>
  </si>
  <si>
    <t>施工面積350㎡</t>
    <rPh sb="0" eb="2">
      <t>セコウ</t>
    </rPh>
    <rPh sb="2" eb="4">
      <t>メンセキ</t>
    </rPh>
    <phoneticPr fontId="2"/>
  </si>
  <si>
    <t>R4パッケージ 19/906</t>
    <phoneticPr fontId="2"/>
  </si>
  <si>
    <t>特殊作業員</t>
    <rPh sb="0" eb="2">
      <t>トクシュ</t>
    </rPh>
    <rPh sb="2" eb="5">
      <t>サギョウイン</t>
    </rPh>
    <phoneticPr fontId="9"/>
  </si>
  <si>
    <t>令和5年3月公共工事設計労務単価</t>
    <rPh sb="0" eb="2">
      <t>レイワ</t>
    </rPh>
    <rPh sb="3" eb="4">
      <t>ネン</t>
    </rPh>
    <rPh sb="4" eb="5">
      <t>レイネン</t>
    </rPh>
    <rPh sb="5" eb="6">
      <t>ガツ</t>
    </rPh>
    <rPh sb="6" eb="8">
      <t>コウキョウ</t>
    </rPh>
    <rPh sb="8" eb="10">
      <t>コウジ</t>
    </rPh>
    <rPh sb="10" eb="12">
      <t>セッケイ</t>
    </rPh>
    <rPh sb="12" eb="14">
      <t>ロウム</t>
    </rPh>
    <rPh sb="14" eb="16">
      <t>タンカ</t>
    </rPh>
    <phoneticPr fontId="9"/>
  </si>
  <si>
    <t>EC100-445　H=100mm</t>
    <phoneticPr fontId="2"/>
  </si>
  <si>
    <t>EC356</t>
    <phoneticPr fontId="2"/>
  </si>
  <si>
    <t>EC445</t>
    <phoneticPr fontId="2"/>
  </si>
  <si>
    <t>EC712</t>
    <phoneticPr fontId="2"/>
  </si>
  <si>
    <t>幅3.5mの時</t>
    <rPh sb="0" eb="1">
      <t>ハバ</t>
    </rPh>
    <rPh sb="6" eb="7">
      <t>トキ</t>
    </rPh>
    <phoneticPr fontId="2"/>
  </si>
  <si>
    <t>セル長さ</t>
    <rPh sb="2" eb="3">
      <t>ナガ</t>
    </rPh>
    <phoneticPr fontId="2"/>
  </si>
  <si>
    <t>セル数(幅)</t>
    <rPh sb="2" eb="3">
      <t>スウ</t>
    </rPh>
    <rPh sb="4" eb="5">
      <t>ハバ</t>
    </rPh>
    <phoneticPr fontId="2"/>
  </si>
  <si>
    <t>セル数(長)</t>
    <rPh sb="2" eb="3">
      <t>スウ</t>
    </rPh>
    <rPh sb="4" eb="5">
      <t>ナガ</t>
    </rPh>
    <phoneticPr fontId="2"/>
  </si>
  <si>
    <t>幅</t>
    <rPh sb="0" eb="1">
      <t>ハバ</t>
    </rPh>
    <phoneticPr fontId="2"/>
  </si>
  <si>
    <t>長さ</t>
    <rPh sb="0" eb="1">
      <t>ナガ</t>
    </rPh>
    <phoneticPr fontId="2"/>
  </si>
  <si>
    <t>標準寸法</t>
    <rPh sb="0" eb="2">
      <t>ヒョウジュン</t>
    </rPh>
    <rPh sb="2" eb="4">
      <t>スンポウ</t>
    </rPh>
    <phoneticPr fontId="2"/>
  </si>
  <si>
    <t>延長100m当たり</t>
    <rPh sb="0" eb="2">
      <t>エンチョウ</t>
    </rPh>
    <rPh sb="6" eb="7">
      <t>ア</t>
    </rPh>
    <phoneticPr fontId="2"/>
  </si>
  <si>
    <t>set数</t>
    <rPh sb="3" eb="4">
      <t>スウ</t>
    </rPh>
    <phoneticPr fontId="2"/>
  </si>
  <si>
    <t>接続箇所数</t>
    <rPh sb="0" eb="4">
      <t>セツゾクカショ</t>
    </rPh>
    <rPh sb="4" eb="5">
      <t>スウ</t>
    </rPh>
    <phoneticPr fontId="2"/>
  </si>
  <si>
    <t>結束バンド　300mm</t>
    <rPh sb="0" eb="2">
      <t>ケッソク</t>
    </rPh>
    <phoneticPr fontId="2"/>
  </si>
  <si>
    <t>㎡/5人/4h</t>
    <rPh sb="3" eb="4">
      <t>ニン</t>
    </rPh>
    <phoneticPr fontId="2"/>
  </si>
  <si>
    <t>6h</t>
    <phoneticPr fontId="2"/>
  </si>
  <si>
    <t>7h</t>
    <phoneticPr fontId="2"/>
  </si>
  <si>
    <t>㎡/5人</t>
    <rPh sb="3" eb="4">
      <t>ニン</t>
    </rPh>
    <phoneticPr fontId="2"/>
  </si>
  <si>
    <t>㎡/人</t>
    <rPh sb="2" eb="3">
      <t>ニン</t>
    </rPh>
    <phoneticPr fontId="2"/>
  </si>
  <si>
    <t>㎡</t>
    <phoneticPr fontId="2"/>
  </si>
  <si>
    <t>人/㎡</t>
    <rPh sb="0" eb="1">
      <t>ニン</t>
    </rPh>
    <phoneticPr fontId="2"/>
  </si>
  <si>
    <t>アンカーピン打設は展開に入っているので抜いていいのではないか？</t>
    <rPh sb="6" eb="8">
      <t>ダセツ</t>
    </rPh>
    <rPh sb="9" eb="11">
      <t>テンカイ</t>
    </rPh>
    <rPh sb="12" eb="13">
      <t>ハイ</t>
    </rPh>
    <rPh sb="19" eb="20">
      <t>ヌ</t>
    </rPh>
    <phoneticPr fontId="2"/>
  </si>
  <si>
    <t>200㎡/4時間/5人となり　7時間/日とすると、70㎡/人/日となり、0.0143人/㎡</t>
    <phoneticPr fontId="2"/>
  </si>
  <si>
    <t>林道は3.5m固定として幅方向の結束バンドのみとなるので、施工性が良くなり甲斐組実績で良い？</t>
    <rPh sb="0" eb="2">
      <t>リンドウ</t>
    </rPh>
    <rPh sb="7" eb="9">
      <t>コテイ</t>
    </rPh>
    <rPh sb="12" eb="15">
      <t>ハバホウコウ</t>
    </rPh>
    <rPh sb="16" eb="18">
      <t>ケッソク</t>
    </rPh>
    <rPh sb="29" eb="32">
      <t>セコウセイ</t>
    </rPh>
    <rPh sb="33" eb="34">
      <t>ヨ</t>
    </rPh>
    <rPh sb="37" eb="40">
      <t>カイグミ</t>
    </rPh>
    <rPh sb="40" eb="42">
      <t>ジッセキ</t>
    </rPh>
    <rPh sb="43" eb="44">
      <t>ヨ</t>
    </rPh>
    <phoneticPr fontId="2"/>
  </si>
  <si>
    <t>新人さんが手伝っていた分も多少ある</t>
    <rPh sb="0" eb="2">
      <t>シンジン</t>
    </rPh>
    <rPh sb="5" eb="7">
      <t>テツダ</t>
    </rPh>
    <rPh sb="11" eb="12">
      <t>ブン</t>
    </rPh>
    <rPh sb="13" eb="15">
      <t>タショウ</t>
    </rPh>
    <phoneticPr fontId="2"/>
  </si>
  <si>
    <t>1パーティ4人と考えると施工量が少し減るのでは？</t>
    <rPh sb="6" eb="7">
      <t>ニン</t>
    </rPh>
    <rPh sb="8" eb="9">
      <t>カンガ</t>
    </rPh>
    <rPh sb="12" eb="15">
      <t>セコウリョウ</t>
    </rPh>
    <rPh sb="16" eb="17">
      <t>スコ</t>
    </rPh>
    <rPh sb="18" eb="19">
      <t>ヘ</t>
    </rPh>
    <phoneticPr fontId="2"/>
  </si>
  <si>
    <t>林道の場合</t>
    <rPh sb="0" eb="2">
      <t>リンドウ</t>
    </rPh>
    <rPh sb="3" eb="5">
      <t>バアイ</t>
    </rPh>
    <phoneticPr fontId="2"/>
  </si>
  <si>
    <t>現状</t>
    <rPh sb="0" eb="2">
      <t>ゲンジョウ</t>
    </rPh>
    <phoneticPr fontId="2"/>
  </si>
  <si>
    <t>0.017人/㎡</t>
    <rPh sb="5" eb="6">
      <t>ニン</t>
    </rPh>
    <phoneticPr fontId="2"/>
  </si>
  <si>
    <t>0.020人/㎡</t>
    <rPh sb="5" eb="6">
      <t>ニン</t>
    </rPh>
    <phoneticPr fontId="2"/>
  </si>
  <si>
    <t>駐車場は結束バンドが増えることにより、林道より施工性が劣る？</t>
    <rPh sb="0" eb="3">
      <t>チュウシャジョウ</t>
    </rPh>
    <rPh sb="4" eb="6">
      <t>ケッソク</t>
    </rPh>
    <rPh sb="10" eb="11">
      <t>フ</t>
    </rPh>
    <rPh sb="19" eb="21">
      <t>リンドウ</t>
    </rPh>
    <rPh sb="23" eb="26">
      <t>セコウセイ</t>
    </rPh>
    <rPh sb="27" eb="28">
      <t>オト</t>
    </rPh>
    <phoneticPr fontId="2"/>
  </si>
  <si>
    <t>その多少人数が多かった分で多くできたのではないか</t>
    <rPh sb="2" eb="4">
      <t>タショウ</t>
    </rPh>
    <rPh sb="4" eb="6">
      <t>ニンズウ</t>
    </rPh>
    <rPh sb="7" eb="8">
      <t>オオ</t>
    </rPh>
    <rPh sb="11" eb="12">
      <t>ブン</t>
    </rPh>
    <rPh sb="13" eb="14">
      <t>オオ</t>
    </rPh>
    <phoneticPr fontId="2"/>
  </si>
  <si>
    <t>㎡/4人/4h</t>
    <rPh sb="3" eb="4">
      <t>ニン</t>
    </rPh>
    <phoneticPr fontId="2"/>
  </si>
  <si>
    <t>㎡/4人</t>
    <rPh sb="3" eb="4">
      <t>ニン</t>
    </rPh>
    <phoneticPr fontId="2"/>
  </si>
  <si>
    <t>200㎡/4時間/4人となり　6時間/日とすると、75㎡/人/日となり、0.0133人/㎡</t>
    <phoneticPr fontId="2"/>
  </si>
  <si>
    <t>0.014人/㎡（メーカー基準）</t>
    <phoneticPr fontId="2"/>
  </si>
  <si>
    <t>0.016人/㎡（メーカー基準）</t>
    <phoneticPr fontId="2"/>
  </si>
  <si>
    <t>駐車場の場合</t>
    <rPh sb="0" eb="3">
      <t>チュウシャジョウ</t>
    </rPh>
    <rPh sb="4" eb="6">
      <t>バアイ</t>
    </rPh>
    <phoneticPr fontId="2"/>
  </si>
  <si>
    <t>マットレスは駐車場を使用しておく。</t>
    <rPh sb="6" eb="9">
      <t>チュウシャジョウ</t>
    </rPh>
    <rPh sb="10" eb="12">
      <t>シヨウ</t>
    </rPh>
    <phoneticPr fontId="2"/>
  </si>
  <si>
    <t>実施工で確認していく。</t>
    <rPh sb="0" eb="3">
      <t>ジツセコウ</t>
    </rPh>
    <rPh sb="4" eb="6">
      <t>カクニン</t>
    </rPh>
    <phoneticPr fontId="2"/>
  </si>
  <si>
    <t>0.014人/㎡（メーカー基準）</t>
    <phoneticPr fontId="2"/>
  </si>
  <si>
    <t>駐車場</t>
    <rPh sb="0" eb="3">
      <t>チュウシャジョウ</t>
    </rPh>
    <phoneticPr fontId="2"/>
  </si>
  <si>
    <t>面積350㎡当り</t>
    <rPh sb="0" eb="2">
      <t>メンセキ</t>
    </rPh>
    <rPh sb="6" eb="7">
      <t>アタ</t>
    </rPh>
    <phoneticPr fontId="2"/>
  </si>
  <si>
    <t>0.016人/㎡（メーカー基準）</t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</si>
  <si>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</si>
  <si>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</si>
  <si>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m</t>
    <phoneticPr fontId="2"/>
  </si>
  <si>
    <t>面積</t>
    <rPh sb="0" eb="2">
      <t>メンセキ</t>
    </rPh>
    <phoneticPr fontId="2"/>
  </si>
  <si>
    <t>※割付図より算出</t>
    <phoneticPr fontId="2"/>
  </si>
  <si>
    <t>必要枚数</t>
    <rPh sb="0" eb="4">
      <t>ヒツヨウマイスウ</t>
    </rPh>
    <phoneticPr fontId="2"/>
  </si>
  <si>
    <t>接続箇所数は、縦横の使用枚数により変わってくる。</t>
    <rPh sb="0" eb="4">
      <t>セツゾクカショ</t>
    </rPh>
    <rPh sb="4" eb="5">
      <t>スウ</t>
    </rPh>
    <rPh sb="7" eb="9">
      <t>タテヨコ</t>
    </rPh>
    <rPh sb="10" eb="14">
      <t>シヨウマイスウ</t>
    </rPh>
    <rPh sb="17" eb="18">
      <t>カ</t>
    </rPh>
    <phoneticPr fontId="2"/>
  </si>
  <si>
    <t>丸セパレーター　600mm</t>
    <rPh sb="0" eb="1">
      <t>マル</t>
    </rPh>
    <phoneticPr fontId="2"/>
  </si>
  <si>
    <t>林道：幅3.0m</t>
    <rPh sb="0" eb="2">
      <t>リンドウ</t>
    </rPh>
    <rPh sb="3" eb="4">
      <t>ハバ</t>
    </rPh>
    <phoneticPr fontId="2"/>
  </si>
  <si>
    <t>幅3.0mの時</t>
    <rPh sb="0" eb="1">
      <t>ハバ</t>
    </rPh>
    <rPh sb="6" eb="7">
      <t>トキ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</si>
</sst>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#,##0_ "/>
    <numFmt numFmtId="178" formatCode="#,##0.0_ "/>
    <numFmt numFmtId="179" formatCode="#,##0_);[Red]\(#,##0\)"/>
    <numFmt numFmtId="180" formatCode="#,##0.00_ "/>
    <numFmt numFmtId="181" formatCode="#,##0.000_ "/>
    <numFmt numFmtId="182" formatCode="0.0_ "/>
    <numFmt numFmtId="183" formatCode="0.0000"/>
    <numFmt numFmtId="184" formatCode="0.0"/>
    <numFmt numFmtId="185" formatCode="0_ "/>
    <numFmt numFmtId="186" formatCode="#,##0.0_);[Red]\(#,##0.0\)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0" fillId="0" borderId="0" xfId="0" applyAlignment="1">
      <alignment horizontal="right"/>
    </xf>
    <xf numFmtId="17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78" fontId="0" fillId="0" borderId="1" xfId="0" applyNumberFormat="1" applyBorder="1"/>
    <xf numFmtId="177" fontId="0" fillId="0" borderId="1" xfId="0" applyNumberFormat="1" applyBorder="1"/>
    <xf numFmtId="179" fontId="0" fillId="0" borderId="1" xfId="0" applyNumberFormat="1" applyBorder="1"/>
    <xf numFmtId="180" fontId="0" fillId="0" borderId="1" xfId="0" applyNumberFormat="1" applyBorder="1"/>
    <xf numFmtId="0" fontId="0" fillId="0" borderId="2" xfId="0" applyBorder="1"/>
    <xf numFmtId="178" fontId="0" fillId="0" borderId="2" xfId="0" applyNumberFormat="1" applyBorder="1"/>
    <xf numFmtId="17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179" fontId="0" fillId="0" borderId="10" xfId="0" applyNumberFormat="1" applyBorder="1"/>
    <xf numFmtId="0" fontId="0" fillId="0" borderId="11" xfId="0" applyBorder="1"/>
    <xf numFmtId="179" fontId="0" fillId="0" borderId="12" xfId="0" applyNumberFormat="1" applyBorder="1"/>
    <xf numFmtId="0" fontId="0" fillId="0" borderId="13" xfId="0" applyBorder="1"/>
    <xf numFmtId="0" fontId="0" fillId="0" borderId="15" xfId="0" applyBorder="1"/>
    <xf numFmtId="177" fontId="0" fillId="0" borderId="15" xfId="0" applyNumberFormat="1" applyBorder="1"/>
    <xf numFmtId="179" fontId="0" fillId="0" borderId="15" xfId="0" applyNumberFormat="1" applyBorder="1"/>
    <xf numFmtId="0" fontId="0" fillId="0" borderId="16" xfId="0" applyBorder="1"/>
    <xf numFmtId="179" fontId="0" fillId="0" borderId="18" xfId="0" applyNumberFormat="1" applyBorder="1"/>
    <xf numFmtId="0" fontId="0" fillId="0" borderId="19" xfId="0" applyBorder="1"/>
    <xf numFmtId="179" fontId="0" fillId="0" borderId="22" xfId="0" applyNumberFormat="1" applyBorder="1"/>
    <xf numFmtId="0" fontId="0" fillId="0" borderId="23" xfId="0" applyBorder="1"/>
    <xf numFmtId="180" fontId="0" fillId="0" borderId="15" xfId="0" applyNumberFormat="1" applyBorder="1"/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38" fontId="0" fillId="0" borderId="0" xfId="1" applyFont="1" applyAlignment="1">
      <alignment horizontal="center"/>
    </xf>
    <xf numFmtId="181" fontId="0" fillId="2" borderId="0" xfId="0" applyNumberFormat="1" applyFill="1"/>
    <xf numFmtId="177" fontId="0" fillId="2" borderId="0" xfId="0" applyNumberFormat="1" applyFill="1"/>
    <xf numFmtId="0" fontId="0" fillId="0" borderId="24" xfId="0" applyBorder="1" applyAlignment="1">
      <alignment horizontal="right"/>
    </xf>
    <xf numFmtId="0" fontId="5" fillId="0" borderId="24" xfId="0" applyFont="1" applyBorder="1"/>
    <xf numFmtId="0" fontId="0" fillId="0" borderId="15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11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0" fillId="2" borderId="1" xfId="0" applyNumberFormat="1" applyFill="1" applyBorder="1"/>
    <xf numFmtId="177" fontId="0" fillId="2" borderId="2" xfId="0" applyNumberFormat="1" applyFill="1" applyBorder="1"/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/>
    <xf numFmtId="0" fontId="0" fillId="0" borderId="8" xfId="0" quotePrefix="1" applyBorder="1" applyAlignment="1">
      <alignment horizontal="right"/>
    </xf>
    <xf numFmtId="0" fontId="0" fillId="0" borderId="8" xfId="0" applyBorder="1" applyAlignment="1">
      <alignment horizontal="right"/>
    </xf>
    <xf numFmtId="38" fontId="0" fillId="2" borderId="0" xfId="1" applyFont="1" applyFill="1" applyAlignment="1"/>
    <xf numFmtId="0" fontId="0" fillId="4" borderId="0" xfId="0" applyFill="1"/>
    <xf numFmtId="38" fontId="0" fillId="4" borderId="0" xfId="1" applyFont="1" applyFill="1" applyAlignment="1"/>
    <xf numFmtId="179" fontId="0" fillId="0" borderId="0" xfId="0" applyNumberFormat="1"/>
    <xf numFmtId="38" fontId="0" fillId="0" borderId="0" xfId="0" applyNumberFormat="1"/>
    <xf numFmtId="38" fontId="0" fillId="0" borderId="0" xfId="1" applyFont="1" applyAlignment="1"/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2" fontId="0" fillId="0" borderId="1" xfId="0" applyNumberFormat="1" applyBorder="1"/>
    <xf numFmtId="176" fontId="0" fillId="0" borderId="1" xfId="0" applyNumberFormat="1" applyBorder="1"/>
    <xf numFmtId="177" fontId="0" fillId="0" borderId="2" xfId="0" applyNumberFormat="1" applyBorder="1"/>
    <xf numFmtId="0" fontId="12" fillId="0" borderId="0" xfId="0" applyFont="1"/>
    <xf numFmtId="176" fontId="0" fillId="5" borderId="1" xfId="0" applyNumberFormat="1" applyFill="1" applyBorder="1"/>
    <xf numFmtId="0" fontId="0" fillId="5" borderId="1" xfId="0" applyFill="1" applyBorder="1" applyAlignment="1">
      <alignment horizontal="right" shrinkToFit="1"/>
    </xf>
    <xf numFmtId="182" fontId="0" fillId="5" borderId="1" xfId="0" applyNumberFormat="1" applyFill="1" applyBorder="1"/>
    <xf numFmtId="0" fontId="0" fillId="0" borderId="0" xfId="0" applyFill="1"/>
    <xf numFmtId="38" fontId="0" fillId="0" borderId="0" xfId="1" applyFont="1" applyFill="1" applyAlignment="1"/>
    <xf numFmtId="183" fontId="0" fillId="0" borderId="0" xfId="0" applyNumberFormat="1"/>
    <xf numFmtId="18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Border="1"/>
    <xf numFmtId="0" fontId="13" fillId="0" borderId="0" xfId="0" applyFont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8" fontId="0" fillId="0" borderId="0" xfId="1" applyFont="1" applyBorder="1" applyAlignment="1"/>
    <xf numFmtId="0" fontId="0" fillId="0" borderId="0" xfId="0" applyBorder="1" applyAlignment="1">
      <alignment shrinkToFit="1"/>
    </xf>
    <xf numFmtId="184" fontId="0" fillId="0" borderId="0" xfId="0" applyNumberFormat="1" applyBorder="1"/>
    <xf numFmtId="183" fontId="0" fillId="2" borderId="0" xfId="0" applyNumberFormat="1" applyFill="1"/>
    <xf numFmtId="0" fontId="14" fillId="0" borderId="0" xfId="0" applyFont="1"/>
    <xf numFmtId="0" fontId="0" fillId="0" borderId="32" xfId="0" applyBorder="1"/>
    <xf numFmtId="0" fontId="0" fillId="0" borderId="31" xfId="0" applyBorder="1"/>
    <xf numFmtId="0" fontId="0" fillId="2" borderId="1" xfId="0" applyFill="1" applyBorder="1" applyAlignment="1">
      <alignment vertical="center"/>
    </xf>
    <xf numFmtId="0" fontId="0" fillId="2" borderId="32" xfId="0" applyFill="1" applyBorder="1"/>
    <xf numFmtId="178" fontId="0" fillId="0" borderId="1" xfId="0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6" fontId="0" fillId="0" borderId="1" xfId="0" applyNumberFormat="1" applyBorder="1"/>
    <xf numFmtId="186" fontId="0" fillId="5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3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19</xdr:row>
      <xdr:rowOff>123825</xdr:rowOff>
    </xdr:from>
    <xdr:to>
      <xdr:col>5</xdr:col>
      <xdr:colOff>152400</xdr:colOff>
      <xdr:row>33</xdr:row>
      <xdr:rowOff>47625</xdr:rowOff>
    </xdr:to>
    <xdr:sp macro="" textlink="">
      <xdr:nvSpPr>
        <xdr:cNvPr id="2" name="正方形/長方形 1"/>
        <xdr:cNvSpPr/>
      </xdr:nvSpPr>
      <xdr:spPr>
        <a:xfrm>
          <a:off x="971550" y="12468225"/>
          <a:ext cx="5295900" cy="2362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C1:R36"/>
  <sheetViews>
    <sheetView zoomScale="115" zoomScaleNormal="115" workbookViewId="0">
      <selection activeCell="G16" sqref="G16"/>
    </sheetView>
  </sheetViews>
  <sheetFormatPr defaultRowHeight="13.5" x14ac:dyDescent="0.15"/>
  <cols>
    <col min="2" max="2" width="5.25" bestFit="1" customWidth="1"/>
    <col min="3" max="3" width="18.625" bestFit="1" customWidth="1"/>
    <col min="4" max="4" width="21" bestFit="1" customWidth="1"/>
    <col min="5" max="5" width="26.375" customWidth="1"/>
  </cols>
  <sheetData>
    <row r="1" spans="3:18" x14ac:dyDescent="0.15">
      <c r="D1" s="80"/>
      <c r="E1" s="80"/>
    </row>
    <row r="2" spans="3:18" ht="14.25" thickBot="1" x14ac:dyDescent="0.2">
      <c r="C2" t="s">
        <v>156</v>
      </c>
      <c r="D2" s="80"/>
      <c r="E2" s="81"/>
      <c r="G2" s="68"/>
    </row>
    <row r="3" spans="3:18" x14ac:dyDescent="0.15">
      <c r="C3" s="85" t="s">
        <v>39</v>
      </c>
      <c r="D3" s="21" t="s">
        <v>20</v>
      </c>
      <c r="E3" s="90" t="s">
        <v>28</v>
      </c>
      <c r="I3" t="s">
        <v>163</v>
      </c>
    </row>
    <row r="4" spans="3:18" x14ac:dyDescent="0.15">
      <c r="C4" s="86"/>
      <c r="D4" s="4" t="s">
        <v>21</v>
      </c>
      <c r="E4" s="91" t="s">
        <v>29</v>
      </c>
      <c r="F4">
        <f>1/0.02</f>
        <v>50</v>
      </c>
      <c r="G4" t="s">
        <v>148</v>
      </c>
      <c r="I4">
        <v>200</v>
      </c>
      <c r="J4" t="s">
        <v>161</v>
      </c>
    </row>
    <row r="5" spans="3:18" x14ac:dyDescent="0.15">
      <c r="C5" s="86" t="s">
        <v>17</v>
      </c>
      <c r="D5" s="4" t="s">
        <v>21</v>
      </c>
      <c r="E5" s="91" t="s">
        <v>30</v>
      </c>
      <c r="P5" s="82"/>
    </row>
    <row r="6" spans="3:18" ht="14.25" thickBot="1" x14ac:dyDescent="0.2">
      <c r="C6" s="87" t="s">
        <v>42</v>
      </c>
      <c r="D6" s="88" t="s">
        <v>21</v>
      </c>
      <c r="E6" s="92" t="s">
        <v>31</v>
      </c>
      <c r="I6" s="32">
        <f>I4/4*6</f>
        <v>300</v>
      </c>
      <c r="J6" s="32" t="s">
        <v>162</v>
      </c>
      <c r="K6" s="32" t="s">
        <v>144</v>
      </c>
      <c r="L6" s="98"/>
      <c r="M6" s="32">
        <f>I6/4</f>
        <v>75</v>
      </c>
      <c r="N6" s="32" t="s">
        <v>147</v>
      </c>
      <c r="O6" s="32"/>
      <c r="P6" s="98">
        <f>1/M6</f>
        <v>1.3333333333333334E-2</v>
      </c>
      <c r="Q6" s="32" t="s">
        <v>149</v>
      </c>
      <c r="R6" s="32">
        <v>1.4E-2</v>
      </c>
    </row>
    <row r="7" spans="3:18" x14ac:dyDescent="0.15">
      <c r="D7" s="68"/>
      <c r="E7" s="33"/>
      <c r="F7" s="83"/>
      <c r="I7">
        <f>I4/4*7</f>
        <v>350</v>
      </c>
      <c r="J7" t="s">
        <v>162</v>
      </c>
      <c r="K7" t="s">
        <v>145</v>
      </c>
      <c r="L7" s="82"/>
      <c r="M7">
        <f>I7/4</f>
        <v>87.5</v>
      </c>
      <c r="N7" t="s">
        <v>147</v>
      </c>
      <c r="P7" s="82">
        <f>1/M7</f>
        <v>1.1428571428571429E-2</v>
      </c>
      <c r="Q7" t="s">
        <v>149</v>
      </c>
    </row>
    <row r="8" spans="3:18" x14ac:dyDescent="0.15">
      <c r="E8" s="33"/>
      <c r="F8" s="83"/>
    </row>
    <row r="9" spans="3:18" x14ac:dyDescent="0.15">
      <c r="E9" s="33"/>
      <c r="I9" t="s">
        <v>151</v>
      </c>
    </row>
    <row r="10" spans="3:18" x14ac:dyDescent="0.15">
      <c r="C10" s="93"/>
      <c r="D10" s="95"/>
      <c r="E10" s="94"/>
      <c r="F10" s="93"/>
      <c r="G10" s="93"/>
      <c r="I10">
        <v>200</v>
      </c>
      <c r="J10" t="s">
        <v>143</v>
      </c>
    </row>
    <row r="11" spans="3:18" x14ac:dyDescent="0.15">
      <c r="C11" s="96"/>
      <c r="D11" s="93"/>
      <c r="E11" s="94"/>
      <c r="F11" s="93"/>
      <c r="G11" s="93"/>
      <c r="M11">
        <f>I12/4</f>
        <v>75</v>
      </c>
      <c r="P11" s="82">
        <f>1/M11</f>
        <v>1.3333333333333334E-2</v>
      </c>
    </row>
    <row r="12" spans="3:18" x14ac:dyDescent="0.15">
      <c r="C12" s="96"/>
      <c r="D12" s="93"/>
      <c r="E12" s="94"/>
      <c r="F12" s="97"/>
      <c r="G12" s="93"/>
      <c r="I12">
        <f>I10/4*6</f>
        <v>300</v>
      </c>
      <c r="J12" t="s">
        <v>146</v>
      </c>
      <c r="K12" t="s">
        <v>144</v>
      </c>
      <c r="L12" s="82"/>
      <c r="M12">
        <f>I12/5</f>
        <v>60</v>
      </c>
      <c r="N12" t="s">
        <v>147</v>
      </c>
      <c r="P12" s="82">
        <f>1/M12</f>
        <v>1.6666666666666666E-2</v>
      </c>
      <c r="Q12" t="s">
        <v>149</v>
      </c>
    </row>
    <row r="13" spans="3:18" x14ac:dyDescent="0.15">
      <c r="C13" s="96"/>
      <c r="D13" s="93"/>
      <c r="E13" s="94"/>
      <c r="F13" s="93"/>
      <c r="G13" s="93"/>
      <c r="I13">
        <f>I10/4*7</f>
        <v>350</v>
      </c>
      <c r="J13" t="s">
        <v>146</v>
      </c>
      <c r="K13" t="s">
        <v>145</v>
      </c>
      <c r="L13" s="82"/>
      <c r="M13">
        <f>I13/5</f>
        <v>70</v>
      </c>
      <c r="N13" t="s">
        <v>147</v>
      </c>
      <c r="P13" s="82">
        <f>1/M13</f>
        <v>1.4285714285714285E-2</v>
      </c>
      <c r="Q13" t="s">
        <v>149</v>
      </c>
    </row>
    <row r="14" spans="3:18" x14ac:dyDescent="0.15">
      <c r="C14" s="96"/>
      <c r="D14" s="93"/>
      <c r="E14" s="94"/>
      <c r="F14" s="93"/>
      <c r="G14" s="93"/>
      <c r="L14" s="82"/>
      <c r="M14">
        <f>I13/4</f>
        <v>87.5</v>
      </c>
      <c r="P14" s="82">
        <f>1/M14</f>
        <v>1.1428571428571429E-2</v>
      </c>
    </row>
    <row r="15" spans="3:18" x14ac:dyDescent="0.15">
      <c r="C15" s="93"/>
      <c r="D15" s="93"/>
      <c r="E15" s="94"/>
      <c r="F15" s="97"/>
      <c r="G15" s="93"/>
      <c r="L15" t="s">
        <v>153</v>
      </c>
    </row>
    <row r="16" spans="3:18" x14ac:dyDescent="0.15">
      <c r="E16" s="33"/>
      <c r="F16" s="83"/>
      <c r="L16" t="s">
        <v>160</v>
      </c>
    </row>
    <row r="17" spans="3:12" x14ac:dyDescent="0.15">
      <c r="E17" s="33"/>
      <c r="F17" s="83"/>
      <c r="L17" t="s">
        <v>154</v>
      </c>
    </row>
    <row r="18" spans="3:12" x14ac:dyDescent="0.15">
      <c r="E18" s="33"/>
      <c r="F18" s="83"/>
    </row>
    <row r="19" spans="3:12" x14ac:dyDescent="0.15">
      <c r="E19" s="33"/>
    </row>
    <row r="20" spans="3:12" x14ac:dyDescent="0.15">
      <c r="E20" s="33"/>
      <c r="L20" t="s">
        <v>150</v>
      </c>
    </row>
    <row r="21" spans="3:12" x14ac:dyDescent="0.15">
      <c r="E21" s="33"/>
      <c r="L21" t="s">
        <v>159</v>
      </c>
    </row>
    <row r="22" spans="3:12" ht="14.25" thickBot="1" x14ac:dyDescent="0.2">
      <c r="C22" s="89" t="s">
        <v>155</v>
      </c>
      <c r="E22" s="33"/>
      <c r="L22" t="s">
        <v>152</v>
      </c>
    </row>
    <row r="23" spans="3:12" x14ac:dyDescent="0.15">
      <c r="C23" s="85" t="s">
        <v>39</v>
      </c>
      <c r="D23" s="21" t="s">
        <v>20</v>
      </c>
      <c r="E23" s="90" t="s">
        <v>28</v>
      </c>
    </row>
    <row r="24" spans="3:12" x14ac:dyDescent="0.15">
      <c r="C24" s="86"/>
      <c r="D24" s="4" t="s">
        <v>21</v>
      </c>
      <c r="E24" s="91" t="s">
        <v>164</v>
      </c>
      <c r="F24" s="83">
        <f>1/0.014</f>
        <v>71.428571428571431</v>
      </c>
      <c r="G24" t="s">
        <v>148</v>
      </c>
      <c r="H24" t="s">
        <v>157</v>
      </c>
    </row>
    <row r="25" spans="3:12" ht="14.25" thickBot="1" x14ac:dyDescent="0.2">
      <c r="C25" s="87" t="s">
        <v>17</v>
      </c>
      <c r="D25" s="88" t="s">
        <v>21</v>
      </c>
      <c r="E25" s="92" t="s">
        <v>30</v>
      </c>
    </row>
    <row r="28" spans="3:12" ht="14.25" thickBot="1" x14ac:dyDescent="0.2">
      <c r="C28" s="89" t="s">
        <v>166</v>
      </c>
      <c r="E28" s="33"/>
      <c r="G28">
        <f>F24/F30</f>
        <v>1.1428571428571428</v>
      </c>
    </row>
    <row r="29" spans="3:12" x14ac:dyDescent="0.15">
      <c r="C29" s="85" t="s">
        <v>39</v>
      </c>
      <c r="D29" s="21" t="s">
        <v>20</v>
      </c>
      <c r="E29" s="90" t="s">
        <v>28</v>
      </c>
      <c r="G29">
        <f>F30/F24</f>
        <v>0.875</v>
      </c>
    </row>
    <row r="30" spans="3:12" x14ac:dyDescent="0.15">
      <c r="C30" s="86"/>
      <c r="D30" s="4" t="s">
        <v>21</v>
      </c>
      <c r="E30" s="91" t="s">
        <v>165</v>
      </c>
      <c r="F30" s="83">
        <f>1/0.016</f>
        <v>62.5</v>
      </c>
      <c r="G30" t="s">
        <v>148</v>
      </c>
      <c r="H30" t="s">
        <v>158</v>
      </c>
    </row>
    <row r="31" spans="3:12" ht="14.25" thickBot="1" x14ac:dyDescent="0.2">
      <c r="C31" s="87" t="s">
        <v>17</v>
      </c>
      <c r="D31" s="88" t="s">
        <v>21</v>
      </c>
      <c r="E31" s="92" t="s">
        <v>30</v>
      </c>
    </row>
    <row r="35" spans="5:5" x14ac:dyDescent="0.15">
      <c r="E35" s="1" t="s">
        <v>167</v>
      </c>
    </row>
    <row r="36" spans="5:5" x14ac:dyDescent="0.15">
      <c r="E36" s="1" t="s">
        <v>168</v>
      </c>
    </row>
  </sheetData>
  <phoneticPr fontId="2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Y48"/>
  <sheetViews>
    <sheetView tabSelected="1" workbookViewId="0"/>
  </sheetViews>
  <sheetFormatPr defaultRowHeight="13.5" x14ac:dyDescent="0.15"/>
  <cols>
    <col min="2" max="2" width="5.25" bestFit="1" customWidth="1"/>
    <col min="3" max="3" width="18.625" bestFit="1" customWidth="1"/>
    <col min="4" max="4" width="21" bestFit="1" customWidth="1"/>
    <col min="5" max="5" width="5.25" bestFit="1" customWidth="1"/>
    <col min="8" max="8" width="10.75" customWidth="1"/>
    <col min="9" max="9" width="25" bestFit="1" customWidth="1"/>
  </cols>
  <sheetData>
    <row r="1" spans="2:25" x14ac:dyDescent="0.15">
      <c r="I1" s="1"/>
    </row>
    <row r="3" spans="2:25" ht="20.100000000000001" customHeight="1" x14ac:dyDescent="0.2">
      <c r="B3" s="115" t="s">
        <v>122</v>
      </c>
      <c r="C3" s="116"/>
      <c r="D3" s="116"/>
      <c r="E3" s="116"/>
      <c r="F3" s="116"/>
      <c r="G3" s="116"/>
      <c r="H3" s="116"/>
      <c r="I3" s="116"/>
    </row>
    <row r="4" spans="2:25" ht="20.100000000000001" customHeight="1" thickBot="1" x14ac:dyDescent="0.25">
      <c r="B4" s="99" t="s">
        <v>181</v>
      </c>
      <c r="C4" s="38"/>
      <c r="D4" s="38"/>
      <c r="E4" s="38"/>
      <c r="F4" s="38"/>
      <c r="G4" s="38"/>
      <c r="H4" s="38"/>
      <c r="I4" s="37" t="s">
        <v>121</v>
      </c>
    </row>
    <row r="5" spans="2:25" ht="20.100000000000001" customHeight="1" thickBot="1" x14ac:dyDescent="0.2"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4" t="s">
        <v>8</v>
      </c>
      <c r="M5" s="33" t="s">
        <v>32</v>
      </c>
      <c r="N5" s="35">
        <v>0.313</v>
      </c>
      <c r="P5" s="41" t="s">
        <v>44</v>
      </c>
      <c r="Q5" s="42" t="s">
        <v>117</v>
      </c>
      <c r="R5" s="41"/>
      <c r="S5" s="41"/>
      <c r="T5" s="41"/>
    </row>
    <row r="6" spans="2:25" ht="20.100000000000001" customHeight="1" thickTop="1" x14ac:dyDescent="0.15">
      <c r="B6" s="121" t="s">
        <v>16</v>
      </c>
      <c r="C6" s="9" t="s">
        <v>38</v>
      </c>
      <c r="D6" s="9" t="s">
        <v>128</v>
      </c>
      <c r="E6" s="30" t="s">
        <v>11</v>
      </c>
      <c r="F6" s="10">
        <f>Q6</f>
        <v>300</v>
      </c>
      <c r="G6" s="54">
        <v>1010</v>
      </c>
      <c r="H6" s="11">
        <f>ROUND(F6*G6,0)</f>
        <v>303000</v>
      </c>
      <c r="I6" s="15"/>
      <c r="J6">
        <f>N5*N6</f>
        <v>3.7560000000000002</v>
      </c>
      <c r="M6" s="33" t="s">
        <v>33</v>
      </c>
      <c r="N6" s="36">
        <v>12</v>
      </c>
      <c r="P6" s="41" t="s">
        <v>45</v>
      </c>
      <c r="Q6" s="42">
        <v>300</v>
      </c>
      <c r="R6" s="41"/>
      <c r="S6" s="41" t="s">
        <v>46</v>
      </c>
      <c r="T6" s="43">
        <f>労務単価!A4</f>
        <v>26100</v>
      </c>
    </row>
    <row r="7" spans="2:25" ht="20.100000000000001" customHeight="1" x14ac:dyDescent="0.15">
      <c r="B7" s="119"/>
      <c r="C7" s="9" t="s">
        <v>109</v>
      </c>
      <c r="D7" s="9" t="s">
        <v>142</v>
      </c>
      <c r="E7" s="30" t="s">
        <v>110</v>
      </c>
      <c r="F7" s="75">
        <f>ROUNDUP(R32,0)</f>
        <v>99</v>
      </c>
      <c r="G7" s="54">
        <v>23</v>
      </c>
      <c r="H7" s="7">
        <f t="shared" ref="H7:H10" si="0">ROUND(F7*G7,0)</f>
        <v>2277</v>
      </c>
      <c r="I7" s="15"/>
      <c r="K7" s="34"/>
      <c r="M7" s="33" t="s">
        <v>34</v>
      </c>
      <c r="N7" s="35">
        <v>0.1</v>
      </c>
      <c r="P7" s="41"/>
      <c r="Q7" s="122"/>
      <c r="R7" s="41"/>
      <c r="S7" s="41" t="s">
        <v>48</v>
      </c>
      <c r="T7" s="43">
        <f>労務単価!A5</f>
        <v>17400</v>
      </c>
    </row>
    <row r="8" spans="2:25" ht="20.100000000000001" customHeight="1" x14ac:dyDescent="0.15">
      <c r="B8" s="119"/>
      <c r="C8" s="4" t="s">
        <v>40</v>
      </c>
      <c r="D8" s="4" t="s">
        <v>41</v>
      </c>
      <c r="E8" s="3" t="s">
        <v>11</v>
      </c>
      <c r="F8" s="5">
        <f>Q6*1.2</f>
        <v>360</v>
      </c>
      <c r="G8" s="6">
        <v>300</v>
      </c>
      <c r="H8" s="7">
        <f t="shared" si="0"/>
        <v>108000</v>
      </c>
      <c r="I8" s="16" t="s">
        <v>14</v>
      </c>
      <c r="M8" s="33" t="s">
        <v>35</v>
      </c>
      <c r="N8" s="36">
        <v>1</v>
      </c>
      <c r="P8" s="41"/>
      <c r="Q8" s="122"/>
      <c r="R8" s="41"/>
      <c r="S8" s="41"/>
      <c r="T8" s="41"/>
    </row>
    <row r="9" spans="2:25" ht="20.100000000000001" customHeight="1" x14ac:dyDescent="0.15">
      <c r="B9" s="119"/>
      <c r="C9" s="4" t="s">
        <v>43</v>
      </c>
      <c r="D9" s="4" t="s">
        <v>180</v>
      </c>
      <c r="E9" s="3" t="s">
        <v>12</v>
      </c>
      <c r="F9" s="6">
        <v>200</v>
      </c>
      <c r="G9" s="53">
        <v>80</v>
      </c>
      <c r="H9" s="7">
        <f t="shared" si="0"/>
        <v>16000</v>
      </c>
      <c r="I9" s="16"/>
      <c r="K9" s="123"/>
      <c r="L9" s="80"/>
      <c r="M9" s="123"/>
      <c r="N9" s="80"/>
    </row>
    <row r="10" spans="2:25" ht="20.100000000000001" customHeight="1" x14ac:dyDescent="0.15">
      <c r="B10" s="119"/>
      <c r="C10" s="4" t="s">
        <v>9</v>
      </c>
      <c r="D10" s="4" t="s">
        <v>10</v>
      </c>
      <c r="E10" s="3" t="s">
        <v>13</v>
      </c>
      <c r="F10" s="5">
        <f>Q6*N7*1.1</f>
        <v>33</v>
      </c>
      <c r="G10" s="53">
        <v>2300</v>
      </c>
      <c r="H10" s="7">
        <f t="shared" si="0"/>
        <v>75900</v>
      </c>
      <c r="I10" s="16" t="s">
        <v>112</v>
      </c>
    </row>
    <row r="11" spans="2:25" ht="20.100000000000001" customHeight="1" thickBot="1" x14ac:dyDescent="0.2">
      <c r="B11" s="120"/>
      <c r="C11" s="117" t="s">
        <v>15</v>
      </c>
      <c r="D11" s="117"/>
      <c r="E11" s="117"/>
      <c r="F11" s="117"/>
      <c r="G11" s="117"/>
      <c r="H11" s="19">
        <f>SUM(H6:H10)</f>
        <v>505177</v>
      </c>
      <c r="I11" s="20"/>
    </row>
    <row r="12" spans="2:25" ht="20.100000000000001" customHeight="1" x14ac:dyDescent="0.15">
      <c r="B12" s="118" t="s">
        <v>24</v>
      </c>
      <c r="C12" s="39" t="s">
        <v>39</v>
      </c>
      <c r="D12" s="21" t="s">
        <v>20</v>
      </c>
      <c r="E12" s="31" t="s">
        <v>23</v>
      </c>
      <c r="F12" s="29">
        <f>ROUND(F6*0.002,2)</f>
        <v>0.6</v>
      </c>
      <c r="G12" s="22">
        <f>T6</f>
        <v>26100</v>
      </c>
      <c r="H12" s="23">
        <f t="shared" ref="H12:H18" si="1">ROUND(F12*G12,0)</f>
        <v>15660</v>
      </c>
      <c r="I12" s="24" t="s">
        <v>28</v>
      </c>
    </row>
    <row r="13" spans="2:25" ht="20.100000000000001" customHeight="1" x14ac:dyDescent="0.15">
      <c r="B13" s="119"/>
      <c r="C13" s="40"/>
      <c r="D13" s="4" t="s">
        <v>21</v>
      </c>
      <c r="E13" s="3" t="s">
        <v>23</v>
      </c>
      <c r="F13" s="8">
        <f>ROUND(F6*0.014,2)</f>
        <v>4.2</v>
      </c>
      <c r="G13" s="6">
        <f>T7</f>
        <v>17400</v>
      </c>
      <c r="H13" s="7">
        <f t="shared" si="1"/>
        <v>73080</v>
      </c>
      <c r="I13" s="16" t="s">
        <v>169</v>
      </c>
      <c r="N13" t="s">
        <v>138</v>
      </c>
      <c r="V13" s="55" t="s">
        <v>101</v>
      </c>
      <c r="W13" s="56"/>
      <c r="X13" s="56"/>
      <c r="Y13" s="56"/>
    </row>
    <row r="14" spans="2:25" ht="20.100000000000001" customHeight="1" x14ac:dyDescent="0.15">
      <c r="B14" s="119"/>
      <c r="C14" s="40" t="s">
        <v>17</v>
      </c>
      <c r="D14" s="4" t="s">
        <v>21</v>
      </c>
      <c r="E14" s="3" t="s">
        <v>23</v>
      </c>
      <c r="F14" s="8">
        <f>ROUND(F8*0.004,2)</f>
        <v>1.44</v>
      </c>
      <c r="G14" s="6">
        <f>T7</f>
        <v>17400</v>
      </c>
      <c r="H14" s="7">
        <f t="shared" si="1"/>
        <v>25056</v>
      </c>
      <c r="I14" s="16" t="s">
        <v>30</v>
      </c>
      <c r="N14" s="3"/>
      <c r="O14" s="3" t="s">
        <v>32</v>
      </c>
      <c r="P14" s="3" t="s">
        <v>133</v>
      </c>
      <c r="Q14" s="3" t="s">
        <v>134</v>
      </c>
      <c r="R14" s="3" t="s">
        <v>135</v>
      </c>
      <c r="S14" s="3" t="s">
        <v>136</v>
      </c>
      <c r="T14" s="3" t="s">
        <v>137</v>
      </c>
      <c r="V14" s="57" t="s">
        <v>102</v>
      </c>
      <c r="W14" s="58" t="s">
        <v>103</v>
      </c>
      <c r="X14" s="58" t="s">
        <v>104</v>
      </c>
      <c r="Y14" s="58" t="s">
        <v>105</v>
      </c>
    </row>
    <row r="15" spans="2:25" ht="20.100000000000001" customHeight="1" x14ac:dyDescent="0.15">
      <c r="B15" s="119"/>
      <c r="C15" s="40" t="s">
        <v>19</v>
      </c>
      <c r="D15" s="4"/>
      <c r="E15" s="3" t="s">
        <v>13</v>
      </c>
      <c r="F15" s="8">
        <f>Q6*N7</f>
        <v>30</v>
      </c>
      <c r="G15" s="53">
        <f>311.59</f>
        <v>311.58999999999997</v>
      </c>
      <c r="H15" s="7">
        <f t="shared" si="1"/>
        <v>9348</v>
      </c>
      <c r="I15" s="62" t="s">
        <v>125</v>
      </c>
      <c r="J15">
        <v>263.7</v>
      </c>
      <c r="N15" s="4" t="s">
        <v>129</v>
      </c>
      <c r="O15" s="74">
        <v>0.25</v>
      </c>
      <c r="P15" s="4">
        <v>0.23599999999999999</v>
      </c>
      <c r="Q15" s="4">
        <v>10</v>
      </c>
      <c r="R15" s="4">
        <v>34</v>
      </c>
      <c r="S15" s="73">
        <f>O15*Q15</f>
        <v>2.5</v>
      </c>
      <c r="T15" s="74">
        <f>P15*R15</f>
        <v>8.0239999999999991</v>
      </c>
      <c r="V15" s="59" t="s">
        <v>106</v>
      </c>
      <c r="W15" s="59">
        <v>10</v>
      </c>
      <c r="X15" s="59">
        <v>8</v>
      </c>
      <c r="Y15" s="59">
        <v>5</v>
      </c>
    </row>
    <row r="16" spans="2:25" ht="20.100000000000001" customHeight="1" x14ac:dyDescent="0.15">
      <c r="B16" s="119"/>
      <c r="C16" s="40" t="s">
        <v>18</v>
      </c>
      <c r="D16" s="4" t="s">
        <v>22</v>
      </c>
      <c r="E16" s="3" t="s">
        <v>13</v>
      </c>
      <c r="F16" s="8">
        <f>Q6*N7</f>
        <v>30</v>
      </c>
      <c r="G16" s="53">
        <f>976.88</f>
        <v>976.88</v>
      </c>
      <c r="H16" s="7">
        <f t="shared" si="1"/>
        <v>29306</v>
      </c>
      <c r="I16" s="62" t="s">
        <v>113</v>
      </c>
      <c r="N16" s="4" t="s">
        <v>130</v>
      </c>
      <c r="O16" s="74">
        <v>0.313</v>
      </c>
      <c r="P16" s="4">
        <v>0.29599999999999999</v>
      </c>
      <c r="Q16" s="4">
        <v>8</v>
      </c>
      <c r="R16" s="4">
        <v>34</v>
      </c>
      <c r="S16" s="73">
        <f t="shared" ref="S16:T17" si="2">O16*Q16</f>
        <v>2.504</v>
      </c>
      <c r="T16" s="74">
        <f t="shared" si="2"/>
        <v>10.064</v>
      </c>
      <c r="V16" s="59" t="s">
        <v>107</v>
      </c>
      <c r="W16" s="59">
        <v>34</v>
      </c>
      <c r="X16" s="59">
        <v>34</v>
      </c>
      <c r="Y16" s="59">
        <v>34</v>
      </c>
    </row>
    <row r="17" spans="2:25" ht="20.100000000000001" customHeight="1" x14ac:dyDescent="0.15">
      <c r="B17" s="119"/>
      <c r="C17" s="40" t="s">
        <v>111</v>
      </c>
      <c r="D17" s="4"/>
      <c r="E17" s="3" t="s">
        <v>13</v>
      </c>
      <c r="F17" s="8">
        <f>Q6*N7</f>
        <v>30</v>
      </c>
      <c r="G17" s="53">
        <f>127.58</f>
        <v>127.58</v>
      </c>
      <c r="H17" s="7">
        <f t="shared" si="1"/>
        <v>3827</v>
      </c>
      <c r="I17" s="62" t="s">
        <v>123</v>
      </c>
      <c r="N17" s="4" t="s">
        <v>131</v>
      </c>
      <c r="O17" s="74">
        <v>0.5</v>
      </c>
      <c r="P17" s="4">
        <v>0.47399999999999998</v>
      </c>
      <c r="Q17" s="4">
        <v>5</v>
      </c>
      <c r="R17" s="4">
        <v>34</v>
      </c>
      <c r="S17" s="73">
        <f t="shared" si="2"/>
        <v>2.5</v>
      </c>
      <c r="T17" s="74">
        <f t="shared" si="2"/>
        <v>16.116</v>
      </c>
      <c r="V17" s="59" t="s">
        <v>106</v>
      </c>
      <c r="W17" s="59">
        <f>34*15+16*3</f>
        <v>558</v>
      </c>
      <c r="X17" s="109">
        <f>W17+W18</f>
        <v>733</v>
      </c>
      <c r="Y17" s="41"/>
    </row>
    <row r="18" spans="2:25" ht="20.100000000000001" customHeight="1" x14ac:dyDescent="0.15">
      <c r="B18" s="119"/>
      <c r="C18" s="4" t="s">
        <v>0</v>
      </c>
      <c r="D18" s="4"/>
      <c r="E18" s="3" t="s">
        <v>13</v>
      </c>
      <c r="F18" s="8">
        <f>F15</f>
        <v>30</v>
      </c>
      <c r="G18" s="53">
        <v>0</v>
      </c>
      <c r="H18" s="7">
        <f t="shared" si="1"/>
        <v>0</v>
      </c>
      <c r="I18" s="63" t="s">
        <v>114</v>
      </c>
      <c r="J18">
        <v>1134</v>
      </c>
      <c r="V18" s="59" t="s">
        <v>107</v>
      </c>
      <c r="W18" s="59">
        <f>10*15+5*5</f>
        <v>175</v>
      </c>
      <c r="X18" s="109"/>
      <c r="Y18" s="41"/>
    </row>
    <row r="19" spans="2:25" ht="20.100000000000001" customHeight="1" thickBot="1" x14ac:dyDescent="0.2">
      <c r="B19" s="120"/>
      <c r="C19" s="110" t="s">
        <v>26</v>
      </c>
      <c r="D19" s="110"/>
      <c r="E19" s="110"/>
      <c r="F19" s="110"/>
      <c r="G19" s="110"/>
      <c r="H19" s="17">
        <f>SUM(H12:H18)</f>
        <v>156277</v>
      </c>
      <c r="I19" s="18"/>
      <c r="V19" s="41"/>
      <c r="W19" s="41"/>
      <c r="X19" s="70"/>
      <c r="Y19" s="41"/>
    </row>
    <row r="20" spans="2:25" ht="20.100000000000001" customHeight="1" thickBot="1" x14ac:dyDescent="0.2">
      <c r="B20" s="111" t="s">
        <v>25</v>
      </c>
      <c r="C20" s="112"/>
      <c r="D20" s="112"/>
      <c r="E20" s="112"/>
      <c r="F20" s="112"/>
      <c r="G20" s="112"/>
      <c r="H20" s="25">
        <f>H11+H19</f>
        <v>661454</v>
      </c>
      <c r="I20" s="26" t="s">
        <v>121</v>
      </c>
      <c r="N20" s="76" t="s">
        <v>182</v>
      </c>
      <c r="V20" s="41"/>
      <c r="W20" s="41"/>
      <c r="X20" s="60" t="s">
        <v>108</v>
      </c>
      <c r="Y20" s="41"/>
    </row>
    <row r="21" spans="2:25" ht="20.100000000000001" customHeight="1" thickBot="1" x14ac:dyDescent="0.2">
      <c r="B21" s="113" t="s">
        <v>27</v>
      </c>
      <c r="C21" s="114"/>
      <c r="D21" s="114"/>
      <c r="E21" s="114"/>
      <c r="F21" s="114"/>
      <c r="G21" s="114"/>
      <c r="H21" s="27">
        <f>H20/F6</f>
        <v>2204.8466666666668</v>
      </c>
      <c r="I21" s="28" t="s">
        <v>124</v>
      </c>
      <c r="K21" s="61">
        <f>ROUND(N5*N6,3)*10</f>
        <v>37.559999999999995</v>
      </c>
      <c r="N21" s="3"/>
      <c r="O21" s="3" t="s">
        <v>32</v>
      </c>
      <c r="P21" s="3" t="s">
        <v>133</v>
      </c>
      <c r="Q21" s="3" t="s">
        <v>134</v>
      </c>
      <c r="R21" s="3" t="s">
        <v>135</v>
      </c>
      <c r="S21" s="3" t="s">
        <v>136</v>
      </c>
      <c r="T21" s="3" t="s">
        <v>137</v>
      </c>
    </row>
    <row r="22" spans="2:25" ht="20.100000000000001" customHeight="1" x14ac:dyDescent="0.15">
      <c r="H22" s="2"/>
      <c r="N22" s="4" t="s">
        <v>129</v>
      </c>
      <c r="O22" s="77">
        <v>0.25</v>
      </c>
      <c r="P22" s="4">
        <v>0.23599999999999999</v>
      </c>
      <c r="Q22" s="4">
        <v>12</v>
      </c>
      <c r="R22" s="4">
        <v>34</v>
      </c>
      <c r="S22" s="73">
        <f>O22*Q22</f>
        <v>3</v>
      </c>
      <c r="T22" s="74">
        <f>P22*R22</f>
        <v>8.0239999999999991</v>
      </c>
    </row>
    <row r="23" spans="2:25" ht="20.100000000000001" customHeight="1" x14ac:dyDescent="0.15">
      <c r="G23" s="32" t="s">
        <v>115</v>
      </c>
      <c r="H23" s="64">
        <f>H11/F6</f>
        <v>1683.9233333333334</v>
      </c>
      <c r="N23" s="4" t="s">
        <v>130</v>
      </c>
      <c r="O23" s="77">
        <v>0.313</v>
      </c>
      <c r="P23" s="4">
        <v>0.29599999999999999</v>
      </c>
      <c r="Q23" s="4">
        <v>10</v>
      </c>
      <c r="R23" s="4">
        <v>34</v>
      </c>
      <c r="S23" s="73">
        <f t="shared" ref="S23:T24" si="3">O23*Q23</f>
        <v>3.13</v>
      </c>
      <c r="T23" s="74">
        <f t="shared" si="3"/>
        <v>10.064</v>
      </c>
    </row>
    <row r="24" spans="2:25" ht="20.100000000000001" customHeight="1" x14ac:dyDescent="0.15">
      <c r="G24" s="65" t="s">
        <v>116</v>
      </c>
      <c r="H24" s="66">
        <f>H19/F6</f>
        <v>520.92333333333329</v>
      </c>
      <c r="N24" s="4" t="s">
        <v>131</v>
      </c>
      <c r="O24" s="77">
        <v>0.5</v>
      </c>
      <c r="P24" s="4">
        <v>0.47399999999999998</v>
      </c>
      <c r="Q24" s="4">
        <v>6</v>
      </c>
      <c r="R24" s="4">
        <v>34</v>
      </c>
      <c r="S24" s="73">
        <f t="shared" si="3"/>
        <v>3</v>
      </c>
      <c r="T24" s="74">
        <f t="shared" si="3"/>
        <v>16.116</v>
      </c>
    </row>
    <row r="26" spans="2:25" x14ac:dyDescent="0.15">
      <c r="F26" t="s">
        <v>120</v>
      </c>
      <c r="G26" t="s">
        <v>118</v>
      </c>
      <c r="H26" s="67">
        <f>H6+H7</f>
        <v>305277</v>
      </c>
      <c r="I26" s="64">
        <f>H26/F6</f>
        <v>1017.59</v>
      </c>
      <c r="K26" s="68"/>
      <c r="P26" s="55" t="s">
        <v>101</v>
      </c>
      <c r="Q26" s="56"/>
      <c r="R26" s="56"/>
      <c r="S26" s="56"/>
    </row>
    <row r="27" spans="2:25" ht="27" x14ac:dyDescent="0.15">
      <c r="G27" t="s">
        <v>119</v>
      </c>
      <c r="H27" s="67">
        <f>H11-H26</f>
        <v>199900</v>
      </c>
      <c r="I27" s="64">
        <f>H27/F6</f>
        <v>666.33333333333337</v>
      </c>
      <c r="P27" s="57" t="s">
        <v>102</v>
      </c>
      <c r="Q27" s="58" t="s">
        <v>103</v>
      </c>
      <c r="R27" s="58" t="s">
        <v>104</v>
      </c>
      <c r="S27" s="58" t="s">
        <v>105</v>
      </c>
    </row>
    <row r="28" spans="2:25" x14ac:dyDescent="0.15">
      <c r="P28" s="59" t="s">
        <v>106</v>
      </c>
      <c r="Q28" s="59">
        <v>12</v>
      </c>
      <c r="R28" s="59">
        <v>10</v>
      </c>
      <c r="S28" s="59">
        <v>6</v>
      </c>
    </row>
    <row r="29" spans="2:25" x14ac:dyDescent="0.15">
      <c r="D29" s="69"/>
    </row>
    <row r="30" spans="2:25" x14ac:dyDescent="0.15">
      <c r="P30" t="s">
        <v>139</v>
      </c>
    </row>
    <row r="31" spans="2:25" x14ac:dyDescent="0.15">
      <c r="D31" s="68"/>
      <c r="P31" s="4" t="s">
        <v>140</v>
      </c>
      <c r="Q31" s="5">
        <f>ROUND(100/T15,1)</f>
        <v>12.5</v>
      </c>
      <c r="R31" s="5">
        <f>ROUND(100/T16,1)</f>
        <v>9.9</v>
      </c>
      <c r="S31" s="5">
        <f>ROUND(100/T24,1)</f>
        <v>6.2</v>
      </c>
    </row>
    <row r="32" spans="2:25" x14ac:dyDescent="0.15">
      <c r="P32" s="78" t="s">
        <v>141</v>
      </c>
      <c r="Q32" s="79">
        <f>Q28*Q31</f>
        <v>150</v>
      </c>
      <c r="R32" s="79">
        <f t="shared" ref="R32:S32" si="4">R28*R31</f>
        <v>99</v>
      </c>
      <c r="S32" s="79">
        <f t="shared" si="4"/>
        <v>37.200000000000003</v>
      </c>
    </row>
    <row r="36" spans="4:20" x14ac:dyDescent="0.15">
      <c r="N36" s="76" t="s">
        <v>132</v>
      </c>
    </row>
    <row r="37" spans="4:20" x14ac:dyDescent="0.15">
      <c r="D37" s="69"/>
      <c r="N37" s="3"/>
      <c r="O37" s="3" t="s">
        <v>32</v>
      </c>
      <c r="P37" s="3" t="s">
        <v>133</v>
      </c>
      <c r="Q37" s="3" t="s">
        <v>134</v>
      </c>
      <c r="R37" s="3" t="s">
        <v>135</v>
      </c>
      <c r="S37" s="3" t="s">
        <v>136</v>
      </c>
      <c r="T37" s="3" t="s">
        <v>137</v>
      </c>
    </row>
    <row r="38" spans="4:20" x14ac:dyDescent="0.15">
      <c r="N38" s="4" t="s">
        <v>129</v>
      </c>
      <c r="O38" s="77">
        <v>0.25</v>
      </c>
      <c r="P38" s="4">
        <v>0.23599999999999999</v>
      </c>
      <c r="Q38" s="4">
        <v>14</v>
      </c>
      <c r="R38" s="4">
        <v>34</v>
      </c>
      <c r="S38" s="73">
        <f>O38*Q38</f>
        <v>3.5</v>
      </c>
      <c r="T38" s="74">
        <f>P38*R38</f>
        <v>8.0239999999999991</v>
      </c>
    </row>
    <row r="39" spans="4:20" x14ac:dyDescent="0.15">
      <c r="N39" s="4" t="s">
        <v>130</v>
      </c>
      <c r="O39" s="77">
        <v>0.313</v>
      </c>
      <c r="P39" s="4">
        <v>0.29599999999999999</v>
      </c>
      <c r="Q39" s="4">
        <v>12</v>
      </c>
      <c r="R39" s="4">
        <v>34</v>
      </c>
      <c r="S39" s="73">
        <f t="shared" ref="S39:S40" si="5">O39*Q39</f>
        <v>3.7560000000000002</v>
      </c>
      <c r="T39" s="74">
        <f t="shared" ref="T39:T40" si="6">P39*R39</f>
        <v>10.064</v>
      </c>
    </row>
    <row r="40" spans="4:20" x14ac:dyDescent="0.15">
      <c r="N40" s="4" t="s">
        <v>131</v>
      </c>
      <c r="O40" s="77">
        <v>0.5</v>
      </c>
      <c r="P40" s="4">
        <v>0.47399999999999998</v>
      </c>
      <c r="Q40" s="4">
        <v>7</v>
      </c>
      <c r="R40" s="4">
        <v>34</v>
      </c>
      <c r="S40" s="73">
        <f t="shared" si="5"/>
        <v>3.5</v>
      </c>
      <c r="T40" s="74">
        <f t="shared" si="6"/>
        <v>16.116</v>
      </c>
    </row>
    <row r="42" spans="4:20" x14ac:dyDescent="0.15">
      <c r="P42" s="55" t="s">
        <v>101</v>
      </c>
      <c r="Q42" s="56"/>
      <c r="R42" s="56"/>
      <c r="S42" s="56"/>
    </row>
    <row r="43" spans="4:20" ht="27" x14ac:dyDescent="0.15">
      <c r="P43" s="57" t="s">
        <v>102</v>
      </c>
      <c r="Q43" s="58" t="s">
        <v>103</v>
      </c>
      <c r="R43" s="58" t="s">
        <v>104</v>
      </c>
      <c r="S43" s="58" t="s">
        <v>105</v>
      </c>
    </row>
    <row r="44" spans="4:20" x14ac:dyDescent="0.15">
      <c r="P44" s="59" t="s">
        <v>106</v>
      </c>
      <c r="Q44" s="59">
        <v>14</v>
      </c>
      <c r="R44" s="59">
        <v>12</v>
      </c>
      <c r="S44" s="59">
        <v>7</v>
      </c>
    </row>
    <row r="46" spans="4:20" x14ac:dyDescent="0.15">
      <c r="P46" t="s">
        <v>139</v>
      </c>
    </row>
    <row r="47" spans="4:20" x14ac:dyDescent="0.15">
      <c r="P47" s="4" t="s">
        <v>140</v>
      </c>
      <c r="Q47" s="5">
        <f>ROUND(100/T38,1)</f>
        <v>12.5</v>
      </c>
      <c r="R47" s="5">
        <f>ROUND(100/T39,1)</f>
        <v>9.9</v>
      </c>
      <c r="S47" s="5">
        <f>ROUND(100/T40,1)</f>
        <v>6.2</v>
      </c>
    </row>
    <row r="48" spans="4:20" x14ac:dyDescent="0.15">
      <c r="P48" s="78" t="s">
        <v>141</v>
      </c>
      <c r="Q48" s="79">
        <f>Q44*Q47</f>
        <v>175</v>
      </c>
      <c r="R48" s="79">
        <f t="shared" ref="R48:S48" si="7">R44*R47</f>
        <v>118.80000000000001</v>
      </c>
      <c r="S48" s="79">
        <f t="shared" si="7"/>
        <v>43.4</v>
      </c>
    </row>
  </sheetData>
  <mergeCells count="8">
    <mergeCell ref="X17:X18"/>
    <mergeCell ref="C19:G19"/>
    <mergeCell ref="B20:G20"/>
    <mergeCell ref="B21:G21"/>
    <mergeCell ref="B3:I3"/>
    <mergeCell ref="C11:G11"/>
    <mergeCell ref="B12:B19"/>
    <mergeCell ref="B6:B11"/>
  </mergeCells>
  <phoneticPr fontId="2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Y46"/>
  <sheetViews>
    <sheetView workbookViewId="0"/>
  </sheetViews>
  <sheetFormatPr defaultRowHeight="13.5" x14ac:dyDescent="0.15"/>
  <cols>
    <col min="2" max="2" width="5.25" bestFit="1" customWidth="1"/>
    <col min="3" max="3" width="18.625" bestFit="1" customWidth="1"/>
    <col min="4" max="4" width="21" bestFit="1" customWidth="1"/>
    <col min="5" max="5" width="5.25" bestFit="1" customWidth="1"/>
    <col min="8" max="8" width="10.75" customWidth="1"/>
    <col min="9" max="9" width="25" bestFit="1" customWidth="1"/>
  </cols>
  <sheetData>
    <row r="1" spans="2:25" x14ac:dyDescent="0.15">
      <c r="I1" s="1"/>
    </row>
    <row r="3" spans="2:25" ht="20.100000000000001" customHeight="1" x14ac:dyDescent="0.2">
      <c r="B3" s="115" t="s">
        <v>122</v>
      </c>
      <c r="C3" s="116"/>
      <c r="D3" s="116"/>
      <c r="E3" s="116"/>
      <c r="F3" s="116"/>
      <c r="G3" s="116"/>
      <c r="H3" s="116"/>
      <c r="I3" s="116"/>
    </row>
    <row r="4" spans="2:25" ht="20.100000000000001" customHeight="1" thickBot="1" x14ac:dyDescent="0.25">
      <c r="B4" s="99" t="s">
        <v>170</v>
      </c>
      <c r="C4" s="38"/>
      <c r="D4" s="38"/>
      <c r="E4" s="38"/>
      <c r="F4" s="38"/>
      <c r="G4" s="38"/>
      <c r="H4" s="38"/>
      <c r="I4" s="37" t="s">
        <v>171</v>
      </c>
    </row>
    <row r="5" spans="2:25" ht="20.100000000000001" customHeight="1" thickBot="1" x14ac:dyDescent="0.2"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4" t="s">
        <v>8</v>
      </c>
      <c r="M5" s="33" t="s">
        <v>32</v>
      </c>
      <c r="N5" s="35">
        <v>0.313</v>
      </c>
      <c r="P5" s="41" t="s">
        <v>44</v>
      </c>
      <c r="Q5" s="42" t="s">
        <v>117</v>
      </c>
      <c r="R5" s="41"/>
      <c r="S5" s="41"/>
      <c r="T5" s="41"/>
    </row>
    <row r="6" spans="2:25" ht="20.100000000000001" customHeight="1" thickTop="1" x14ac:dyDescent="0.15">
      <c r="B6" s="121" t="s">
        <v>16</v>
      </c>
      <c r="C6" s="9" t="s">
        <v>38</v>
      </c>
      <c r="D6" s="9" t="s">
        <v>128</v>
      </c>
      <c r="E6" s="30" t="s">
        <v>11</v>
      </c>
      <c r="F6" s="10">
        <v>350</v>
      </c>
      <c r="G6" s="54">
        <v>1010</v>
      </c>
      <c r="H6" s="11">
        <f>ROUND(F6*G6,0)</f>
        <v>353500</v>
      </c>
      <c r="I6" s="15"/>
      <c r="J6">
        <f>N5*N6</f>
        <v>3.7560000000000002</v>
      </c>
      <c r="M6" s="33" t="s">
        <v>33</v>
      </c>
      <c r="N6" s="36">
        <v>12</v>
      </c>
      <c r="P6" s="41" t="s">
        <v>45</v>
      </c>
      <c r="Q6" s="42">
        <f>3.5*100</f>
        <v>350</v>
      </c>
      <c r="R6" s="41"/>
      <c r="S6" s="41" t="s">
        <v>46</v>
      </c>
      <c r="T6" s="43">
        <f>労務単価!A4</f>
        <v>26100</v>
      </c>
    </row>
    <row r="7" spans="2:25" ht="20.100000000000001" customHeight="1" x14ac:dyDescent="0.15">
      <c r="B7" s="119"/>
      <c r="C7" s="9" t="s">
        <v>109</v>
      </c>
      <c r="D7" s="9" t="s">
        <v>142</v>
      </c>
      <c r="E7" s="30" t="s">
        <v>110</v>
      </c>
      <c r="F7" s="75">
        <f>ROUNDUP(R46,0)</f>
        <v>119</v>
      </c>
      <c r="G7" s="54">
        <v>23</v>
      </c>
      <c r="H7" s="7">
        <f t="shared" ref="H7:H10" si="0">ROUND(F7*G7,0)</f>
        <v>2737</v>
      </c>
      <c r="I7" s="15"/>
      <c r="K7" s="34"/>
      <c r="M7" s="33" t="s">
        <v>34</v>
      </c>
      <c r="N7" s="35">
        <v>0.1</v>
      </c>
      <c r="P7" s="41" t="s">
        <v>47</v>
      </c>
      <c r="Q7" s="42">
        <v>0.1</v>
      </c>
      <c r="R7" s="41"/>
      <c r="S7" s="41" t="s">
        <v>48</v>
      </c>
      <c r="T7" s="43">
        <f>労務単価!A5</f>
        <v>17400</v>
      </c>
    </row>
    <row r="8" spans="2:25" ht="20.100000000000001" customHeight="1" x14ac:dyDescent="0.15">
      <c r="B8" s="119"/>
      <c r="C8" s="4" t="s">
        <v>40</v>
      </c>
      <c r="D8" s="4" t="s">
        <v>41</v>
      </c>
      <c r="E8" s="3" t="s">
        <v>11</v>
      </c>
      <c r="F8" s="5">
        <f>350*1.2</f>
        <v>420</v>
      </c>
      <c r="G8" s="6">
        <v>300</v>
      </c>
      <c r="H8" s="7">
        <f t="shared" si="0"/>
        <v>126000</v>
      </c>
      <c r="I8" s="16" t="s">
        <v>14</v>
      </c>
      <c r="M8" s="33" t="s">
        <v>35</v>
      </c>
      <c r="N8" s="36">
        <v>1</v>
      </c>
      <c r="P8" s="41" t="s">
        <v>49</v>
      </c>
      <c r="Q8" s="42">
        <v>0.1</v>
      </c>
      <c r="R8" s="41"/>
      <c r="S8" s="41"/>
      <c r="T8" s="41"/>
    </row>
    <row r="9" spans="2:25" ht="20.100000000000001" customHeight="1" x14ac:dyDescent="0.15">
      <c r="B9" s="119"/>
      <c r="C9" s="4" t="s">
        <v>43</v>
      </c>
      <c r="D9" s="4" t="s">
        <v>180</v>
      </c>
      <c r="E9" s="3" t="s">
        <v>12</v>
      </c>
      <c r="F9" s="6">
        <v>200</v>
      </c>
      <c r="G9" s="53">
        <v>80</v>
      </c>
      <c r="H9" s="7">
        <f t="shared" si="0"/>
        <v>16000</v>
      </c>
      <c r="I9" s="16"/>
      <c r="K9" s="33" t="s">
        <v>37</v>
      </c>
      <c r="L9" s="32">
        <v>1</v>
      </c>
      <c r="M9" s="33" t="s">
        <v>36</v>
      </c>
      <c r="N9">
        <f>N7*N8</f>
        <v>0.1</v>
      </c>
    </row>
    <row r="10" spans="2:25" ht="20.100000000000001" customHeight="1" x14ac:dyDescent="0.15">
      <c r="B10" s="119"/>
      <c r="C10" s="4" t="s">
        <v>9</v>
      </c>
      <c r="D10" s="4" t="s">
        <v>10</v>
      </c>
      <c r="E10" s="3" t="s">
        <v>13</v>
      </c>
      <c r="F10" s="5">
        <f>350*N7*1.1</f>
        <v>38.5</v>
      </c>
      <c r="G10" s="53">
        <v>2300</v>
      </c>
      <c r="H10" s="7">
        <f t="shared" si="0"/>
        <v>88550</v>
      </c>
      <c r="I10" s="16" t="s">
        <v>112</v>
      </c>
    </row>
    <row r="11" spans="2:25" ht="20.100000000000001" customHeight="1" thickBot="1" x14ac:dyDescent="0.2">
      <c r="B11" s="120"/>
      <c r="C11" s="117" t="s">
        <v>15</v>
      </c>
      <c r="D11" s="117"/>
      <c r="E11" s="117"/>
      <c r="F11" s="117"/>
      <c r="G11" s="117"/>
      <c r="H11" s="19">
        <f>SUM(H6:H10)</f>
        <v>586787</v>
      </c>
      <c r="I11" s="20"/>
    </row>
    <row r="12" spans="2:25" ht="20.100000000000001" customHeight="1" x14ac:dyDescent="0.15">
      <c r="B12" s="118" t="s">
        <v>24</v>
      </c>
      <c r="C12" s="39" t="s">
        <v>39</v>
      </c>
      <c r="D12" s="21" t="s">
        <v>20</v>
      </c>
      <c r="E12" s="31" t="s">
        <v>23</v>
      </c>
      <c r="F12" s="29">
        <f>ROUND(F6*0.002,2)</f>
        <v>0.7</v>
      </c>
      <c r="G12" s="22">
        <f>T6</f>
        <v>26100</v>
      </c>
      <c r="H12" s="23">
        <f t="shared" ref="H12:H18" si="1">ROUND(F12*G12,0)</f>
        <v>18270</v>
      </c>
      <c r="I12" s="24" t="s">
        <v>28</v>
      </c>
      <c r="N12" t="s">
        <v>138</v>
      </c>
      <c r="V12" s="55" t="s">
        <v>101</v>
      </c>
      <c r="W12" s="56"/>
      <c r="X12" s="56"/>
      <c r="Y12" s="56"/>
    </row>
    <row r="13" spans="2:25" ht="20.100000000000001" customHeight="1" x14ac:dyDescent="0.15">
      <c r="B13" s="119"/>
      <c r="C13" s="40"/>
      <c r="D13" s="4" t="s">
        <v>21</v>
      </c>
      <c r="E13" s="3" t="s">
        <v>23</v>
      </c>
      <c r="F13" s="8">
        <f>ROUND(F6*0.016,2)</f>
        <v>5.6</v>
      </c>
      <c r="G13" s="6">
        <f>T7</f>
        <v>17400</v>
      </c>
      <c r="H13" s="7">
        <f t="shared" si="1"/>
        <v>97440</v>
      </c>
      <c r="I13" s="16" t="s">
        <v>172</v>
      </c>
      <c r="N13" s="3"/>
      <c r="O13" s="3" t="s">
        <v>32</v>
      </c>
      <c r="P13" s="3" t="s">
        <v>133</v>
      </c>
      <c r="Q13" s="3" t="s">
        <v>134</v>
      </c>
      <c r="R13" s="3" t="s">
        <v>135</v>
      </c>
      <c r="S13" s="3" t="s">
        <v>136</v>
      </c>
      <c r="T13" s="3" t="s">
        <v>137</v>
      </c>
      <c r="V13" s="57" t="s">
        <v>102</v>
      </c>
      <c r="W13" s="58" t="s">
        <v>103</v>
      </c>
      <c r="X13" s="58" t="s">
        <v>104</v>
      </c>
      <c r="Y13" s="58" t="s">
        <v>105</v>
      </c>
    </row>
    <row r="14" spans="2:25" ht="20.100000000000001" customHeight="1" x14ac:dyDescent="0.15">
      <c r="B14" s="119"/>
      <c r="C14" s="40" t="s">
        <v>17</v>
      </c>
      <c r="D14" s="4" t="s">
        <v>21</v>
      </c>
      <c r="E14" s="3" t="s">
        <v>23</v>
      </c>
      <c r="F14" s="8">
        <f>ROUND(F8*0.004,2)</f>
        <v>1.68</v>
      </c>
      <c r="G14" s="6">
        <f>T7</f>
        <v>17400</v>
      </c>
      <c r="H14" s="7">
        <f t="shared" si="1"/>
        <v>29232</v>
      </c>
      <c r="I14" s="16" t="s">
        <v>30</v>
      </c>
      <c r="N14" s="4" t="s">
        <v>129</v>
      </c>
      <c r="O14" s="74">
        <v>0.25</v>
      </c>
      <c r="P14" s="4">
        <v>0.23599999999999999</v>
      </c>
      <c r="Q14" s="4">
        <v>10</v>
      </c>
      <c r="R14" s="4">
        <v>34</v>
      </c>
      <c r="S14" s="73">
        <f>O14*Q14</f>
        <v>2.5</v>
      </c>
      <c r="T14" s="74">
        <f>P14*R14</f>
        <v>8.0239999999999991</v>
      </c>
      <c r="V14" s="59" t="s">
        <v>106</v>
      </c>
      <c r="W14" s="59">
        <v>10</v>
      </c>
      <c r="X14" s="59">
        <v>8</v>
      </c>
      <c r="Y14" s="59">
        <v>5</v>
      </c>
    </row>
    <row r="15" spans="2:25" ht="20.100000000000001" customHeight="1" x14ac:dyDescent="0.15">
      <c r="B15" s="119"/>
      <c r="C15" s="40" t="s">
        <v>19</v>
      </c>
      <c r="D15" s="4"/>
      <c r="E15" s="3" t="s">
        <v>13</v>
      </c>
      <c r="F15" s="8">
        <f>350*N7</f>
        <v>35</v>
      </c>
      <c r="G15" s="53">
        <f>311.59</f>
        <v>311.58999999999997</v>
      </c>
      <c r="H15" s="7">
        <f t="shared" si="1"/>
        <v>10906</v>
      </c>
      <c r="I15" s="62" t="s">
        <v>125</v>
      </c>
      <c r="J15">
        <v>263.7</v>
      </c>
      <c r="N15" s="4" t="s">
        <v>130</v>
      </c>
      <c r="O15" s="74">
        <v>0.313</v>
      </c>
      <c r="P15" s="4">
        <v>0.29599999999999999</v>
      </c>
      <c r="Q15" s="4">
        <v>8</v>
      </c>
      <c r="R15" s="4">
        <v>34</v>
      </c>
      <c r="S15" s="73">
        <f t="shared" ref="S15:T16" si="2">O15*Q15</f>
        <v>2.504</v>
      </c>
      <c r="T15" s="74">
        <f t="shared" si="2"/>
        <v>10.064</v>
      </c>
      <c r="V15" s="59" t="s">
        <v>107</v>
      </c>
      <c r="W15" s="59">
        <v>34</v>
      </c>
      <c r="X15" s="59">
        <v>34</v>
      </c>
      <c r="Y15" s="59">
        <v>34</v>
      </c>
    </row>
    <row r="16" spans="2:25" ht="20.100000000000001" customHeight="1" x14ac:dyDescent="0.15">
      <c r="B16" s="119"/>
      <c r="C16" s="40" t="s">
        <v>18</v>
      </c>
      <c r="D16" s="4" t="s">
        <v>22</v>
      </c>
      <c r="E16" s="3" t="s">
        <v>13</v>
      </c>
      <c r="F16" s="8">
        <f>350*N7</f>
        <v>35</v>
      </c>
      <c r="G16" s="53">
        <f>976.88</f>
        <v>976.88</v>
      </c>
      <c r="H16" s="7">
        <f t="shared" si="1"/>
        <v>34191</v>
      </c>
      <c r="I16" s="62" t="s">
        <v>113</v>
      </c>
      <c r="N16" s="4" t="s">
        <v>131</v>
      </c>
      <c r="O16" s="74">
        <v>0.5</v>
      </c>
      <c r="P16" s="4">
        <v>0.47399999999999998</v>
      </c>
      <c r="Q16" s="4">
        <v>5</v>
      </c>
      <c r="R16" s="4">
        <v>34</v>
      </c>
      <c r="S16" s="73">
        <f t="shared" si="2"/>
        <v>2.5</v>
      </c>
      <c r="T16" s="74">
        <f t="shared" si="2"/>
        <v>16.116</v>
      </c>
      <c r="V16" s="59" t="s">
        <v>106</v>
      </c>
      <c r="W16" s="102">
        <f>34*15+16*3</f>
        <v>558</v>
      </c>
      <c r="X16" s="109">
        <f>W16+W17</f>
        <v>733</v>
      </c>
      <c r="Y16" s="41"/>
    </row>
    <row r="17" spans="2:25" ht="20.100000000000001" customHeight="1" x14ac:dyDescent="0.15">
      <c r="B17" s="119"/>
      <c r="C17" s="40" t="s">
        <v>111</v>
      </c>
      <c r="D17" s="4"/>
      <c r="E17" s="3" t="s">
        <v>13</v>
      </c>
      <c r="F17" s="8">
        <f>350*N7</f>
        <v>35</v>
      </c>
      <c r="G17" s="53">
        <f>127.58</f>
        <v>127.58</v>
      </c>
      <c r="H17" s="7">
        <f t="shared" si="1"/>
        <v>4465</v>
      </c>
      <c r="I17" s="62" t="s">
        <v>123</v>
      </c>
      <c r="V17" s="59" t="s">
        <v>107</v>
      </c>
      <c r="W17" s="102">
        <f>10*15+5*5</f>
        <v>175</v>
      </c>
      <c r="X17" s="109"/>
      <c r="Y17" t="s">
        <v>177</v>
      </c>
    </row>
    <row r="18" spans="2:25" ht="20.100000000000001" customHeight="1" x14ac:dyDescent="0.15">
      <c r="B18" s="119"/>
      <c r="C18" s="4" t="s">
        <v>0</v>
      </c>
      <c r="D18" s="4"/>
      <c r="E18" s="3" t="s">
        <v>13</v>
      </c>
      <c r="F18" s="8">
        <f>F15</f>
        <v>35</v>
      </c>
      <c r="G18" s="53">
        <v>0</v>
      </c>
      <c r="H18" s="7">
        <f t="shared" si="1"/>
        <v>0</v>
      </c>
      <c r="I18" s="63" t="s">
        <v>114</v>
      </c>
      <c r="J18">
        <v>1134</v>
      </c>
      <c r="P18" s="55" t="s">
        <v>101</v>
      </c>
      <c r="Q18" s="56"/>
      <c r="R18" s="56"/>
      <c r="S18" s="56"/>
      <c r="V18" s="41"/>
      <c r="W18" s="41"/>
      <c r="X18" s="70"/>
      <c r="Y18" s="41"/>
    </row>
    <row r="19" spans="2:25" ht="20.100000000000001" customHeight="1" thickBot="1" x14ac:dyDescent="0.2">
      <c r="B19" s="120"/>
      <c r="C19" s="110" t="s">
        <v>26</v>
      </c>
      <c r="D19" s="110"/>
      <c r="E19" s="110"/>
      <c r="F19" s="110"/>
      <c r="G19" s="110"/>
      <c r="H19" s="17">
        <f>SUM(H12:H18)</f>
        <v>194504</v>
      </c>
      <c r="I19" s="18"/>
      <c r="P19" s="57" t="s">
        <v>102</v>
      </c>
      <c r="Q19" s="58" t="s">
        <v>103</v>
      </c>
      <c r="R19" s="58" t="s">
        <v>104</v>
      </c>
      <c r="S19" s="58" t="s">
        <v>105</v>
      </c>
      <c r="U19" s="3" t="s">
        <v>173</v>
      </c>
      <c r="V19" s="103">
        <v>25</v>
      </c>
      <c r="W19" s="101" t="s">
        <v>175</v>
      </c>
      <c r="X19" s="41"/>
      <c r="Y19" s="41"/>
    </row>
    <row r="20" spans="2:25" ht="20.100000000000001" customHeight="1" thickBot="1" x14ac:dyDescent="0.2">
      <c r="B20" s="111" t="s">
        <v>25</v>
      </c>
      <c r="C20" s="112"/>
      <c r="D20" s="112"/>
      <c r="E20" s="112"/>
      <c r="F20" s="112"/>
      <c r="G20" s="112"/>
      <c r="H20" s="25">
        <f>H11+H19</f>
        <v>781291</v>
      </c>
      <c r="I20" s="26" t="s">
        <v>121</v>
      </c>
      <c r="P20" s="84" t="s">
        <v>106</v>
      </c>
      <c r="Q20" s="104">
        <f>ROUND(V19/P14,1)</f>
        <v>105.9</v>
      </c>
      <c r="R20" s="104">
        <f>ROUND(V19/P15,1)</f>
        <v>84.5</v>
      </c>
      <c r="S20" s="104">
        <f>ROUND(V19/P16,1)</f>
        <v>52.7</v>
      </c>
      <c r="U20" s="3" t="s">
        <v>174</v>
      </c>
      <c r="V20" s="103">
        <v>14</v>
      </c>
      <c r="W20" s="101" t="s">
        <v>175</v>
      </c>
    </row>
    <row r="21" spans="2:25" ht="20.100000000000001" customHeight="1" thickBot="1" x14ac:dyDescent="0.2">
      <c r="B21" s="113" t="s">
        <v>27</v>
      </c>
      <c r="C21" s="114"/>
      <c r="D21" s="114"/>
      <c r="E21" s="114"/>
      <c r="F21" s="114"/>
      <c r="G21" s="114"/>
      <c r="H21" s="27">
        <f>H20/F6</f>
        <v>2232.2600000000002</v>
      </c>
      <c r="I21" s="28" t="s">
        <v>124</v>
      </c>
      <c r="K21" s="61">
        <f>ROUND(N5*N6,3)*10</f>
        <v>37.559999999999995</v>
      </c>
      <c r="P21" s="84" t="s">
        <v>107</v>
      </c>
      <c r="Q21" s="104">
        <f>ROUND(V20/O14,1)</f>
        <v>56</v>
      </c>
      <c r="R21" s="104">
        <f>ROUND(V20/O15,1)</f>
        <v>44.7</v>
      </c>
      <c r="S21" s="104">
        <f>ROUND(V20/O16,1)</f>
        <v>28</v>
      </c>
      <c r="U21" s="3" t="s">
        <v>176</v>
      </c>
      <c r="V21" s="100">
        <f>V19*V20</f>
        <v>350</v>
      </c>
      <c r="W21" s="101" t="s">
        <v>11</v>
      </c>
    </row>
    <row r="22" spans="2:25" ht="20.100000000000001" customHeight="1" x14ac:dyDescent="0.15">
      <c r="H22" s="2"/>
    </row>
    <row r="23" spans="2:25" ht="20.100000000000001" customHeight="1" x14ac:dyDescent="0.15">
      <c r="G23" s="32" t="s">
        <v>115</v>
      </c>
      <c r="H23" s="64">
        <f>H11/F6</f>
        <v>1676.5342857142857</v>
      </c>
      <c r="P23" s="4" t="s">
        <v>178</v>
      </c>
      <c r="Q23" s="108" t="s">
        <v>103</v>
      </c>
      <c r="R23" s="108" t="s">
        <v>104</v>
      </c>
      <c r="S23" s="108" t="s">
        <v>105</v>
      </c>
    </row>
    <row r="24" spans="2:25" ht="20.100000000000001" customHeight="1" x14ac:dyDescent="0.15">
      <c r="G24" s="65" t="s">
        <v>116</v>
      </c>
      <c r="H24" s="66">
        <f>H19/F6</f>
        <v>555.72571428571428</v>
      </c>
      <c r="P24" s="84" t="s">
        <v>106</v>
      </c>
      <c r="Q24" s="5">
        <f>ROUND(V19/T14,1)</f>
        <v>3.1</v>
      </c>
      <c r="R24" s="5">
        <f>ROUND(V19/T15,1)</f>
        <v>2.5</v>
      </c>
      <c r="S24" s="5">
        <f>ROUND(V19/T16,1)</f>
        <v>1.6</v>
      </c>
    </row>
    <row r="25" spans="2:25" x14ac:dyDescent="0.15">
      <c r="P25" s="84" t="s">
        <v>107</v>
      </c>
      <c r="Q25" s="5">
        <f>ROUND(V20/S14,1)</f>
        <v>5.6</v>
      </c>
      <c r="R25" s="5">
        <f>ROUND(V20/S15,1)</f>
        <v>5.6</v>
      </c>
      <c r="S25" s="5">
        <f>ROUND(V20/S16,1)</f>
        <v>5.6</v>
      </c>
    </row>
    <row r="26" spans="2:25" x14ac:dyDescent="0.15">
      <c r="F26" t="s">
        <v>120</v>
      </c>
      <c r="G26" t="s">
        <v>118</v>
      </c>
      <c r="H26" s="67">
        <f>H6+H7</f>
        <v>356237</v>
      </c>
      <c r="I26" s="64">
        <f>H26/F6</f>
        <v>1017.82</v>
      </c>
      <c r="K26" s="68"/>
    </row>
    <row r="27" spans="2:25" x14ac:dyDescent="0.15">
      <c r="G27" t="s">
        <v>119</v>
      </c>
      <c r="H27" s="67">
        <f>H11-H26</f>
        <v>230550</v>
      </c>
      <c r="I27" s="64">
        <f>H27/F6</f>
        <v>658.71428571428567</v>
      </c>
      <c r="O27" s="76" t="s">
        <v>179</v>
      </c>
    </row>
    <row r="29" spans="2:25" x14ac:dyDescent="0.15">
      <c r="D29" s="69"/>
    </row>
    <row r="31" spans="2:25" x14ac:dyDescent="0.15">
      <c r="D31" s="68"/>
    </row>
    <row r="34" spans="4:20" x14ac:dyDescent="0.15">
      <c r="N34" s="76" t="s">
        <v>132</v>
      </c>
    </row>
    <row r="35" spans="4:20" x14ac:dyDescent="0.15">
      <c r="N35" s="3"/>
      <c r="O35" s="3" t="s">
        <v>32</v>
      </c>
      <c r="P35" s="3" t="s">
        <v>133</v>
      </c>
      <c r="Q35" s="3" t="s">
        <v>134</v>
      </c>
      <c r="R35" s="3" t="s">
        <v>135</v>
      </c>
      <c r="S35" s="3" t="s">
        <v>136</v>
      </c>
      <c r="T35" s="3" t="s">
        <v>137</v>
      </c>
    </row>
    <row r="36" spans="4:20" x14ac:dyDescent="0.15">
      <c r="N36" s="4" t="s">
        <v>129</v>
      </c>
      <c r="O36" s="77">
        <v>0.25</v>
      </c>
      <c r="P36" s="4">
        <v>0.23599999999999999</v>
      </c>
      <c r="Q36" s="4">
        <v>14</v>
      </c>
      <c r="R36" s="4">
        <v>34</v>
      </c>
      <c r="S36" s="73">
        <f>O36*Q36</f>
        <v>3.5</v>
      </c>
      <c r="T36" s="74">
        <f>P36*R36</f>
        <v>8.0239999999999991</v>
      </c>
    </row>
    <row r="37" spans="4:20" x14ac:dyDescent="0.15">
      <c r="D37" s="69"/>
      <c r="N37" s="4" t="s">
        <v>130</v>
      </c>
      <c r="O37" s="77">
        <v>0.313</v>
      </c>
      <c r="P37" s="4">
        <v>0.29599999999999999</v>
      </c>
      <c r="Q37" s="4">
        <v>12</v>
      </c>
      <c r="R37" s="4">
        <v>34</v>
      </c>
      <c r="S37" s="73">
        <f t="shared" ref="S37:T38" si="3">O37*Q37</f>
        <v>3.7560000000000002</v>
      </c>
      <c r="T37" s="74">
        <f t="shared" si="3"/>
        <v>10.064</v>
      </c>
    </row>
    <row r="38" spans="4:20" x14ac:dyDescent="0.15">
      <c r="N38" s="4" t="s">
        <v>131</v>
      </c>
      <c r="O38" s="77">
        <v>0.5</v>
      </c>
      <c r="P38" s="4">
        <v>0.47399999999999998</v>
      </c>
      <c r="Q38" s="4">
        <v>7</v>
      </c>
      <c r="R38" s="4">
        <v>34</v>
      </c>
      <c r="S38" s="73">
        <f t="shared" si="3"/>
        <v>3.5</v>
      </c>
      <c r="T38" s="74">
        <f t="shared" si="3"/>
        <v>16.116</v>
      </c>
    </row>
    <row r="40" spans="4:20" x14ac:dyDescent="0.15">
      <c r="P40" s="55" t="s">
        <v>101</v>
      </c>
      <c r="Q40" s="56"/>
      <c r="R40" s="56"/>
      <c r="S40" s="56"/>
    </row>
    <row r="41" spans="4:20" ht="27" x14ac:dyDescent="0.15">
      <c r="P41" s="57" t="s">
        <v>102</v>
      </c>
      <c r="Q41" s="58" t="s">
        <v>103</v>
      </c>
      <c r="R41" s="58" t="s">
        <v>104</v>
      </c>
      <c r="S41" s="58" t="s">
        <v>105</v>
      </c>
    </row>
    <row r="42" spans="4:20" x14ac:dyDescent="0.15">
      <c r="P42" s="84" t="s">
        <v>106</v>
      </c>
      <c r="Q42" s="105">
        <v>14</v>
      </c>
      <c r="R42" s="105">
        <v>12</v>
      </c>
      <c r="S42" s="105">
        <v>7</v>
      </c>
    </row>
    <row r="44" spans="4:20" x14ac:dyDescent="0.15">
      <c r="P44" t="s">
        <v>139</v>
      </c>
    </row>
    <row r="45" spans="4:20" x14ac:dyDescent="0.15">
      <c r="P45" s="4" t="s">
        <v>140</v>
      </c>
      <c r="Q45" s="106">
        <f>ROUND(100/T14,1)</f>
        <v>12.5</v>
      </c>
      <c r="R45" s="106">
        <f>ROUND(100/T15,1)</f>
        <v>9.9</v>
      </c>
      <c r="S45" s="106">
        <f>ROUND(100/T38,1)</f>
        <v>6.2</v>
      </c>
    </row>
    <row r="46" spans="4:20" x14ac:dyDescent="0.15">
      <c r="P46" s="78" t="s">
        <v>141</v>
      </c>
      <c r="Q46" s="107">
        <f>Q42*Q45</f>
        <v>175</v>
      </c>
      <c r="R46" s="107">
        <f t="shared" ref="R46:S46" si="4">R42*R45</f>
        <v>118.80000000000001</v>
      </c>
      <c r="S46" s="107">
        <f t="shared" si="4"/>
        <v>43.4</v>
      </c>
    </row>
  </sheetData>
  <mergeCells count="8">
    <mergeCell ref="X16:X17"/>
    <mergeCell ref="C19:G19"/>
    <mergeCell ref="B20:G20"/>
    <mergeCell ref="B21:G21"/>
    <mergeCell ref="B3:I3"/>
    <mergeCell ref="B6:B11"/>
    <mergeCell ref="C11:G11"/>
    <mergeCell ref="B12:B19"/>
  </mergeCells>
  <phoneticPr fontId="2"/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7"/>
  <sheetViews>
    <sheetView workbookViewId="0">
      <selection activeCell="A4" sqref="A4"/>
    </sheetView>
  </sheetViews>
  <sheetFormatPr defaultColWidth="9" defaultRowHeight="13.5" x14ac:dyDescent="0.15"/>
  <cols>
    <col min="1" max="16384" width="9" style="41"/>
  </cols>
  <sheetData>
    <row r="2" spans="1:49" s="44" customFormat="1" ht="14.25" x14ac:dyDescent="0.15">
      <c r="B2" s="45" t="s">
        <v>127</v>
      </c>
    </row>
    <row r="3" spans="1:49" s="47" customFormat="1" ht="12.75" x14ac:dyDescent="0.15">
      <c r="A3" s="72" t="str">
        <f>'林道EC445_H=100mm'!Q5</f>
        <v>宮崎</v>
      </c>
      <c r="B3" s="46" t="s">
        <v>50</v>
      </c>
      <c r="C3" s="46" t="s">
        <v>51</v>
      </c>
      <c r="D3" s="46" t="s">
        <v>52</v>
      </c>
      <c r="E3" s="46" t="s">
        <v>53</v>
      </c>
      <c r="F3" s="46" t="s">
        <v>54</v>
      </c>
      <c r="G3" s="46" t="s">
        <v>55</v>
      </c>
      <c r="H3" s="46" t="s">
        <v>56</v>
      </c>
      <c r="I3" s="46" t="s">
        <v>57</v>
      </c>
      <c r="J3" s="46" t="s">
        <v>58</v>
      </c>
      <c r="K3" s="46" t="s">
        <v>59</v>
      </c>
      <c r="L3" s="46" t="s">
        <v>60</v>
      </c>
      <c r="M3" s="46" t="s">
        <v>61</v>
      </c>
      <c r="N3" s="46" t="s">
        <v>62</v>
      </c>
      <c r="O3" s="46" t="s">
        <v>63</v>
      </c>
      <c r="P3" s="71" t="s">
        <v>64</v>
      </c>
      <c r="Q3" s="46" t="s">
        <v>65</v>
      </c>
      <c r="R3" s="46" t="s">
        <v>66</v>
      </c>
      <c r="S3" s="46" t="s">
        <v>67</v>
      </c>
      <c r="T3" s="46" t="s">
        <v>68</v>
      </c>
      <c r="U3" s="46" t="s">
        <v>69</v>
      </c>
      <c r="V3" s="46" t="s">
        <v>70</v>
      </c>
      <c r="W3" s="46" t="s">
        <v>71</v>
      </c>
      <c r="X3" s="46" t="s">
        <v>72</v>
      </c>
      <c r="Y3" s="46" t="s">
        <v>73</v>
      </c>
      <c r="Z3" s="46" t="s">
        <v>74</v>
      </c>
      <c r="AA3" s="46" t="s">
        <v>75</v>
      </c>
      <c r="AB3" s="46" t="s">
        <v>76</v>
      </c>
      <c r="AC3" s="46" t="s">
        <v>77</v>
      </c>
      <c r="AD3" s="46" t="s">
        <v>78</v>
      </c>
      <c r="AE3" s="46" t="s">
        <v>79</v>
      </c>
      <c r="AF3" s="46" t="s">
        <v>80</v>
      </c>
      <c r="AG3" s="46" t="s">
        <v>81</v>
      </c>
      <c r="AH3" s="46" t="s">
        <v>82</v>
      </c>
      <c r="AI3" s="46" t="s">
        <v>83</v>
      </c>
      <c r="AJ3" s="46" t="s">
        <v>84</v>
      </c>
      <c r="AK3" s="46" t="s">
        <v>85</v>
      </c>
      <c r="AL3" s="46" t="s">
        <v>86</v>
      </c>
      <c r="AM3" s="46" t="s">
        <v>87</v>
      </c>
      <c r="AN3" s="46" t="s">
        <v>88</v>
      </c>
      <c r="AO3" s="46" t="s">
        <v>89</v>
      </c>
      <c r="AP3" s="46" t="s">
        <v>90</v>
      </c>
      <c r="AQ3" s="46" t="s">
        <v>91</v>
      </c>
      <c r="AR3" s="46" t="s">
        <v>92</v>
      </c>
      <c r="AS3" s="46" t="s">
        <v>93</v>
      </c>
      <c r="AT3" s="46" t="s">
        <v>94</v>
      </c>
      <c r="AU3" s="46" t="s">
        <v>95</v>
      </c>
      <c r="AV3" s="46" t="s">
        <v>96</v>
      </c>
      <c r="AW3" s="46" t="s">
        <v>97</v>
      </c>
    </row>
    <row r="4" spans="1:49" s="44" customFormat="1" ht="12.75" x14ac:dyDescent="0.15">
      <c r="A4" s="48">
        <f>HLOOKUP($A$3,$C$3:$AW$7,2,FALSE)</f>
        <v>26100</v>
      </c>
      <c r="B4" s="49" t="s">
        <v>98</v>
      </c>
      <c r="C4" s="50">
        <v>25200</v>
      </c>
      <c r="D4" s="50">
        <v>30000</v>
      </c>
      <c r="E4" s="50">
        <v>29900</v>
      </c>
      <c r="F4" s="50">
        <v>30100</v>
      </c>
      <c r="G4" s="50">
        <v>31100</v>
      </c>
      <c r="H4" s="50">
        <v>29000</v>
      </c>
      <c r="I4" s="50">
        <v>27300</v>
      </c>
      <c r="J4" s="50">
        <v>27100</v>
      </c>
      <c r="K4" s="50">
        <v>27000</v>
      </c>
      <c r="L4" s="50">
        <v>27100</v>
      </c>
      <c r="M4" s="50">
        <v>27500</v>
      </c>
      <c r="N4" s="50">
        <v>28100</v>
      </c>
      <c r="O4" s="50">
        <v>28900</v>
      </c>
      <c r="P4" s="50">
        <v>29400</v>
      </c>
      <c r="Q4" s="50">
        <v>27800</v>
      </c>
      <c r="R4" s="50">
        <v>27100</v>
      </c>
      <c r="S4" s="50">
        <v>24700</v>
      </c>
      <c r="T4" s="50">
        <v>26200</v>
      </c>
      <c r="U4" s="50">
        <v>28000</v>
      </c>
      <c r="V4" s="50">
        <v>27400</v>
      </c>
      <c r="W4" s="50">
        <v>27700</v>
      </c>
      <c r="X4" s="50">
        <v>27500</v>
      </c>
      <c r="Y4" s="50">
        <v>26500</v>
      </c>
      <c r="Z4" s="50">
        <v>25600</v>
      </c>
      <c r="AA4" s="50">
        <v>25800</v>
      </c>
      <c r="AB4" s="50">
        <v>25500</v>
      </c>
      <c r="AC4" s="50">
        <v>26400</v>
      </c>
      <c r="AD4" s="50">
        <v>25100</v>
      </c>
      <c r="AE4" s="50">
        <v>26700</v>
      </c>
      <c r="AF4" s="50">
        <v>26600</v>
      </c>
      <c r="AG4" s="50">
        <v>23000</v>
      </c>
      <c r="AH4" s="50">
        <v>22100</v>
      </c>
      <c r="AI4" s="50">
        <v>23600</v>
      </c>
      <c r="AJ4" s="50">
        <v>23000</v>
      </c>
      <c r="AK4" s="50">
        <v>23500</v>
      </c>
      <c r="AL4" s="50">
        <v>24600</v>
      </c>
      <c r="AM4" s="50">
        <v>24600</v>
      </c>
      <c r="AN4" s="50">
        <v>25800</v>
      </c>
      <c r="AO4" s="50">
        <v>24400</v>
      </c>
      <c r="AP4" s="50">
        <v>26100</v>
      </c>
      <c r="AQ4" s="50">
        <v>24900</v>
      </c>
      <c r="AR4" s="50">
        <v>24500</v>
      </c>
      <c r="AS4" s="50">
        <v>25500</v>
      </c>
      <c r="AT4" s="50">
        <v>25800</v>
      </c>
      <c r="AU4" s="50">
        <v>26100</v>
      </c>
      <c r="AV4" s="50">
        <v>28300</v>
      </c>
      <c r="AW4" s="50">
        <v>27300</v>
      </c>
    </row>
    <row r="5" spans="1:49" s="50" customFormat="1" ht="12.75" x14ac:dyDescent="0.15">
      <c r="A5" s="48">
        <f>HLOOKUP($A$3,$C$3:$AW$7,3,FALSE)</f>
        <v>17400</v>
      </c>
      <c r="B5" s="51" t="s">
        <v>99</v>
      </c>
      <c r="C5" s="50">
        <v>19100</v>
      </c>
      <c r="D5" s="50">
        <v>19800</v>
      </c>
      <c r="E5" s="50">
        <v>21100</v>
      </c>
      <c r="F5" s="50">
        <v>21000</v>
      </c>
      <c r="G5" s="50">
        <v>20000</v>
      </c>
      <c r="H5" s="50">
        <v>20000</v>
      </c>
      <c r="I5" s="50">
        <v>20900</v>
      </c>
      <c r="J5" s="50">
        <v>22600</v>
      </c>
      <c r="K5" s="50">
        <v>21200</v>
      </c>
      <c r="L5" s="50">
        <v>22400</v>
      </c>
      <c r="M5" s="50">
        <v>22900</v>
      </c>
      <c r="N5" s="50">
        <v>22600</v>
      </c>
      <c r="O5" s="50">
        <v>23900</v>
      </c>
      <c r="P5" s="50">
        <v>23900</v>
      </c>
      <c r="Q5" s="50">
        <v>23800</v>
      </c>
      <c r="R5" s="50">
        <v>21900</v>
      </c>
      <c r="S5" s="50">
        <v>20700</v>
      </c>
      <c r="T5" s="50">
        <v>22000</v>
      </c>
      <c r="U5" s="50">
        <v>22600</v>
      </c>
      <c r="V5" s="50">
        <v>22100</v>
      </c>
      <c r="W5" s="50">
        <v>23200</v>
      </c>
      <c r="X5" s="50">
        <v>22100</v>
      </c>
      <c r="Y5" s="50">
        <v>21300</v>
      </c>
      <c r="Z5" s="50">
        <v>19200</v>
      </c>
      <c r="AA5" s="50">
        <v>20500</v>
      </c>
      <c r="AB5" s="50">
        <v>21500</v>
      </c>
      <c r="AC5" s="50">
        <v>21000</v>
      </c>
      <c r="AD5" s="50">
        <v>21200</v>
      </c>
      <c r="AE5" s="50">
        <v>21100</v>
      </c>
      <c r="AF5" s="50">
        <v>21300</v>
      </c>
      <c r="AG5" s="50">
        <v>16000</v>
      </c>
      <c r="AH5" s="50">
        <v>17200</v>
      </c>
      <c r="AI5" s="50">
        <v>18700</v>
      </c>
      <c r="AJ5" s="50">
        <v>19600</v>
      </c>
      <c r="AK5" s="50">
        <v>17900</v>
      </c>
      <c r="AL5" s="50">
        <v>20600</v>
      </c>
      <c r="AM5" s="50">
        <v>21100</v>
      </c>
      <c r="AN5" s="50">
        <v>18500</v>
      </c>
      <c r="AO5" s="50">
        <v>18800</v>
      </c>
      <c r="AP5" s="50">
        <v>20800</v>
      </c>
      <c r="AQ5" s="50">
        <v>17800</v>
      </c>
      <c r="AR5" s="50">
        <v>18700</v>
      </c>
      <c r="AS5" s="50">
        <v>19200</v>
      </c>
      <c r="AT5" s="50">
        <v>17900</v>
      </c>
      <c r="AU5" s="50">
        <v>17400</v>
      </c>
      <c r="AV5" s="50">
        <v>18800</v>
      </c>
      <c r="AW5" s="50">
        <v>20000</v>
      </c>
    </row>
    <row r="6" spans="1:49" s="44" customFormat="1" ht="12.75" x14ac:dyDescent="0.15">
      <c r="A6" s="48">
        <f>HLOOKUP($A$3,$C$3:$AW$7,4,FALSE)</f>
        <v>24200</v>
      </c>
      <c r="B6" s="49" t="s">
        <v>100</v>
      </c>
      <c r="C6" s="50">
        <v>23400</v>
      </c>
      <c r="D6" s="50">
        <v>29800</v>
      </c>
      <c r="E6" s="50">
        <v>29100</v>
      </c>
      <c r="F6" s="50">
        <v>30600</v>
      </c>
      <c r="G6" s="50">
        <v>28700</v>
      </c>
      <c r="H6" s="50">
        <v>27100</v>
      </c>
      <c r="I6" s="50">
        <v>25900</v>
      </c>
      <c r="J6" s="50">
        <v>27000</v>
      </c>
      <c r="K6" s="50">
        <v>24400</v>
      </c>
      <c r="L6" s="50">
        <v>24800</v>
      </c>
      <c r="M6" s="50">
        <v>28200</v>
      </c>
      <c r="N6" s="50">
        <v>27400</v>
      </c>
      <c r="O6" s="50">
        <v>27700</v>
      </c>
      <c r="P6" s="50">
        <v>28700</v>
      </c>
      <c r="Q6" s="50">
        <v>27700</v>
      </c>
      <c r="R6" s="50">
        <v>24800</v>
      </c>
      <c r="S6" s="50">
        <v>24500</v>
      </c>
      <c r="T6" s="50">
        <v>25900</v>
      </c>
      <c r="U6" s="50">
        <v>25200</v>
      </c>
      <c r="V6" s="50">
        <v>26500</v>
      </c>
      <c r="W6" s="50">
        <v>25900</v>
      </c>
      <c r="X6" s="50">
        <v>26200</v>
      </c>
      <c r="Y6" s="50">
        <v>25700</v>
      </c>
      <c r="Z6" s="50">
        <v>22100</v>
      </c>
      <c r="AA6" s="50">
        <v>23500</v>
      </c>
      <c r="AB6" s="50">
        <v>22300</v>
      </c>
      <c r="AC6" s="50">
        <v>23900</v>
      </c>
      <c r="AD6" s="50">
        <v>22500</v>
      </c>
      <c r="AE6" s="50">
        <v>23200</v>
      </c>
      <c r="AF6" s="50">
        <v>21800</v>
      </c>
      <c r="AG6" s="50">
        <v>18400</v>
      </c>
      <c r="AH6" s="50">
        <v>20100</v>
      </c>
      <c r="AI6" s="50">
        <v>21500</v>
      </c>
      <c r="AJ6" s="50">
        <v>22100</v>
      </c>
      <c r="AK6" s="50">
        <v>20300</v>
      </c>
      <c r="AL6" s="50">
        <v>20400</v>
      </c>
      <c r="AM6" s="50">
        <v>21800</v>
      </c>
      <c r="AN6" s="50">
        <v>22200</v>
      </c>
      <c r="AO6" s="50">
        <v>22700</v>
      </c>
      <c r="AP6" s="50">
        <v>23200</v>
      </c>
      <c r="AQ6" s="50">
        <v>25500</v>
      </c>
      <c r="AR6" s="50">
        <v>21700</v>
      </c>
      <c r="AS6" s="50">
        <v>22700</v>
      </c>
      <c r="AT6" s="50">
        <v>24200</v>
      </c>
      <c r="AU6" s="50">
        <v>24200</v>
      </c>
      <c r="AV6" s="50">
        <v>26800</v>
      </c>
      <c r="AW6" s="50">
        <v>26500</v>
      </c>
    </row>
    <row r="7" spans="1:49" x14ac:dyDescent="0.15">
      <c r="A7" s="48">
        <f>HLOOKUP($A$3,$C$3:$AW$7,5,FALSE)</f>
        <v>23500</v>
      </c>
      <c r="B7" s="49" t="s">
        <v>126</v>
      </c>
      <c r="C7" s="50">
        <v>22800</v>
      </c>
      <c r="D7" s="50">
        <v>26600</v>
      </c>
      <c r="E7" s="50">
        <v>25200</v>
      </c>
      <c r="F7" s="50">
        <v>26700</v>
      </c>
      <c r="G7" s="50">
        <v>25100</v>
      </c>
      <c r="H7" s="50">
        <v>25200</v>
      </c>
      <c r="I7" s="50">
        <v>26700</v>
      </c>
      <c r="J7" s="50">
        <v>23700</v>
      </c>
      <c r="K7" s="50">
        <v>23500</v>
      </c>
      <c r="L7" s="50">
        <v>23500</v>
      </c>
      <c r="M7" s="50">
        <v>25200</v>
      </c>
      <c r="N7" s="50">
        <v>26200</v>
      </c>
      <c r="O7" s="50">
        <v>26700</v>
      </c>
      <c r="P7" s="50">
        <v>26900</v>
      </c>
      <c r="Q7" s="50">
        <v>25700</v>
      </c>
      <c r="R7" s="50">
        <v>24800</v>
      </c>
      <c r="S7" s="50">
        <v>24900</v>
      </c>
      <c r="T7" s="50">
        <v>27800</v>
      </c>
      <c r="U7" s="50">
        <v>26800</v>
      </c>
      <c r="V7" s="50">
        <v>24300</v>
      </c>
      <c r="W7" s="50">
        <v>24100</v>
      </c>
      <c r="X7" s="50">
        <v>25400</v>
      </c>
      <c r="Y7" s="50">
        <v>24200</v>
      </c>
      <c r="Z7" s="52">
        <v>23200</v>
      </c>
      <c r="AA7" s="50">
        <v>23500</v>
      </c>
      <c r="AB7" s="50">
        <v>22900</v>
      </c>
      <c r="AC7" s="50">
        <v>24400</v>
      </c>
      <c r="AD7" s="50">
        <v>22000</v>
      </c>
      <c r="AE7" s="50">
        <v>24700</v>
      </c>
      <c r="AF7" s="50">
        <v>23800</v>
      </c>
      <c r="AG7" s="50">
        <v>20000</v>
      </c>
      <c r="AH7" s="50">
        <v>20300</v>
      </c>
      <c r="AI7" s="50">
        <v>21400</v>
      </c>
      <c r="AJ7" s="50">
        <v>21900</v>
      </c>
      <c r="AK7" s="50">
        <v>20300</v>
      </c>
      <c r="AL7" s="50">
        <v>22300</v>
      </c>
      <c r="AM7" s="50">
        <v>23200</v>
      </c>
      <c r="AN7" s="50">
        <v>21900</v>
      </c>
      <c r="AO7" s="50">
        <v>21600</v>
      </c>
      <c r="AP7" s="50">
        <v>23500</v>
      </c>
      <c r="AQ7" s="50">
        <v>20700</v>
      </c>
      <c r="AR7" s="50">
        <v>21700</v>
      </c>
      <c r="AS7" s="50">
        <v>22100</v>
      </c>
      <c r="AT7" s="50">
        <v>21100</v>
      </c>
      <c r="AU7" s="50">
        <v>23500</v>
      </c>
      <c r="AV7" s="50">
        <v>25800</v>
      </c>
      <c r="AW7" s="50">
        <v>23000</v>
      </c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歩掛り変更</vt:lpstr>
      <vt:lpstr>林道EC445_H=100mm</vt:lpstr>
      <vt:lpstr>駐車場EC445_H=100mm</vt:lpstr>
      <vt:lpstr>労務単価</vt:lpstr>
      <vt:lpstr>'駐車場EC445_H=100mm'!Print_Area</vt:lpstr>
      <vt:lpstr>歩掛り変更!Print_Area</vt:lpstr>
      <vt:lpstr>'林道EC445_H=100mm'!Print_Area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2023-12-19T02:51:52Z</dcterms:modified>
</cp:coreProperties>
</file>